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5\"/>
    </mc:Choice>
  </mc:AlternateContent>
  <bookViews>
    <workbookView xWindow="0" yWindow="0" windowWidth="27570" windowHeight="11595" tabRatio="815"/>
  </bookViews>
  <sheets>
    <sheet name="7-11 лет " sheetId="2" r:id="rId1"/>
    <sheet name="с 12 лет  (2)" sheetId="10" r:id="rId2"/>
    <sheet name="127-49 руб 7-11 лет  коррек" sheetId="8" state="hidden" r:id="rId3"/>
    <sheet name="139-29  руб 12-18 лет коррекц " sheetId="9" state="hidden" r:id="rId4"/>
  </sheets>
  <definedNames>
    <definedName name="_xlnm.Print_Area" localSheetId="2">'127-49 руб 7-11 лет  коррек'!$A$1:$N$159</definedName>
    <definedName name="_xlnm.Print_Area" localSheetId="3">'139-29  руб 12-18 лет коррекц '!$A$1:$N$161</definedName>
    <definedName name="_xlnm.Print_Area" localSheetId="0">'7-11 лет '!$A$1:$G$84</definedName>
    <definedName name="_xlnm.Print_Area" localSheetId="1">'с 12 лет  (2)'!$A$1:$G$85</definedName>
  </definedNames>
  <calcPr calcId="162913" refMode="R1C1"/>
</workbook>
</file>

<file path=xl/calcChain.xml><?xml version="1.0" encoding="utf-8"?>
<calcChain xmlns="http://schemas.openxmlformats.org/spreadsheetml/2006/main">
  <c r="E63" i="10" l="1"/>
  <c r="F63" i="10"/>
  <c r="G63" i="10"/>
  <c r="D63" i="10"/>
  <c r="E79" i="10"/>
  <c r="F79" i="10"/>
  <c r="G79" i="10"/>
  <c r="D79" i="10"/>
  <c r="G57" i="10"/>
  <c r="E57" i="10"/>
  <c r="F57" i="10"/>
  <c r="D57" i="10"/>
  <c r="E49" i="10"/>
  <c r="F49" i="10"/>
  <c r="G49" i="10"/>
  <c r="D49" i="10"/>
  <c r="E42" i="10"/>
  <c r="F42" i="10"/>
  <c r="G42" i="10"/>
  <c r="D42" i="10"/>
  <c r="E33" i="10"/>
  <c r="F33" i="10"/>
  <c r="G33" i="10"/>
  <c r="D33" i="10"/>
  <c r="E26" i="10"/>
  <c r="F26" i="10"/>
  <c r="G26" i="10"/>
  <c r="D26" i="10"/>
  <c r="E19" i="10" l="1"/>
  <c r="F19" i="10"/>
  <c r="F18" i="10" s="1"/>
  <c r="G19" i="10"/>
  <c r="D19" i="10"/>
  <c r="D18" i="10" s="1"/>
  <c r="E9" i="10"/>
  <c r="F9" i="10"/>
  <c r="F8" i="10" s="1"/>
  <c r="G9" i="10"/>
  <c r="G8" i="10" s="1"/>
  <c r="D9" i="10"/>
  <c r="D8" i="10" s="1"/>
  <c r="G78" i="10"/>
  <c r="F78" i="10"/>
  <c r="E78" i="10"/>
  <c r="D78" i="10"/>
  <c r="G72" i="10"/>
  <c r="F72" i="10"/>
  <c r="E72" i="10"/>
  <c r="E71" i="10" s="1"/>
  <c r="D72" i="10"/>
  <c r="D71" i="10" s="1"/>
  <c r="G71" i="10"/>
  <c r="F71" i="10"/>
  <c r="G56" i="10"/>
  <c r="F56" i="10"/>
  <c r="D56" i="10"/>
  <c r="E56" i="10"/>
  <c r="F48" i="10"/>
  <c r="E48" i="10"/>
  <c r="D48" i="10"/>
  <c r="G48" i="10"/>
  <c r="G41" i="10"/>
  <c r="E41" i="10"/>
  <c r="D41" i="10"/>
  <c r="F41" i="10"/>
  <c r="G32" i="10"/>
  <c r="E32" i="10"/>
  <c r="D32" i="10"/>
  <c r="F32" i="10"/>
  <c r="G25" i="10"/>
  <c r="F25" i="10"/>
  <c r="E25" i="10"/>
  <c r="D25" i="10"/>
  <c r="G18" i="10"/>
  <c r="E18" i="10"/>
  <c r="E8" i="10"/>
  <c r="E79" i="2" l="1"/>
  <c r="F79" i="2"/>
  <c r="G79" i="2"/>
  <c r="D79" i="2"/>
  <c r="E49" i="2"/>
  <c r="F49" i="2"/>
  <c r="G49" i="2"/>
  <c r="D49" i="2"/>
  <c r="E42" i="2"/>
  <c r="F42" i="2"/>
  <c r="G42" i="2"/>
  <c r="D42" i="2"/>
  <c r="E33" i="2" l="1"/>
  <c r="F33" i="2"/>
  <c r="G33" i="2"/>
  <c r="D33" i="2"/>
  <c r="E26" i="2" l="1"/>
  <c r="F26" i="2"/>
  <c r="G26" i="2"/>
  <c r="D26" i="2"/>
  <c r="E19" i="2" l="1"/>
  <c r="F19" i="2"/>
  <c r="G19" i="2"/>
  <c r="D19" i="2"/>
  <c r="E9" i="2"/>
  <c r="F9" i="2"/>
  <c r="G9" i="2"/>
  <c r="D9" i="2"/>
  <c r="E63" i="2" l="1"/>
  <c r="F63" i="2"/>
  <c r="G63" i="2"/>
  <c r="D63" i="2"/>
  <c r="E57" i="2" l="1"/>
  <c r="E56" i="2" s="1"/>
  <c r="F57" i="2"/>
  <c r="F56" i="2" s="1"/>
  <c r="G57" i="2"/>
  <c r="G56" i="2" s="1"/>
  <c r="D57" i="2"/>
  <c r="D56" i="2" s="1"/>
  <c r="G72" i="2" l="1"/>
  <c r="F72" i="2"/>
  <c r="E72" i="2"/>
  <c r="D72" i="2"/>
  <c r="G11" i="9" l="1"/>
  <c r="F11" i="9"/>
  <c r="E11" i="9"/>
  <c r="D11" i="9"/>
  <c r="G116" i="9"/>
  <c r="F116" i="9"/>
  <c r="E116" i="9"/>
  <c r="D116" i="9"/>
  <c r="G116" i="8"/>
  <c r="F116" i="8"/>
  <c r="E116" i="8"/>
  <c r="D116" i="8"/>
  <c r="G11" i="8"/>
  <c r="F11" i="8"/>
  <c r="E11" i="8"/>
  <c r="D11" i="8"/>
  <c r="G99" i="8" l="1"/>
  <c r="F111" i="8" l="1"/>
  <c r="E111" i="8"/>
  <c r="D111" i="8"/>
  <c r="C75" i="8"/>
  <c r="G154" i="9" l="1"/>
  <c r="F154" i="9"/>
  <c r="E154" i="9"/>
  <c r="D154" i="9"/>
  <c r="G138" i="9"/>
  <c r="F138" i="9"/>
  <c r="E138" i="9"/>
  <c r="D138" i="9"/>
  <c r="D138" i="8"/>
  <c r="E138" i="8"/>
  <c r="F138" i="8"/>
  <c r="G122" i="9"/>
  <c r="F122" i="9"/>
  <c r="E122" i="9"/>
  <c r="D122" i="9"/>
  <c r="G107" i="9"/>
  <c r="G105" i="9" s="1"/>
  <c r="F107" i="9"/>
  <c r="E107" i="9"/>
  <c r="D107" i="9"/>
  <c r="G93" i="9"/>
  <c r="F93" i="9"/>
  <c r="E93" i="9"/>
  <c r="D93" i="9"/>
  <c r="E64" i="9"/>
  <c r="F64" i="9"/>
  <c r="D64" i="9"/>
  <c r="G48" i="9"/>
  <c r="F48" i="9"/>
  <c r="E48" i="9"/>
  <c r="D48" i="9"/>
  <c r="G33" i="9"/>
  <c r="F33" i="9"/>
  <c r="E33" i="9"/>
  <c r="D33" i="9"/>
  <c r="G78" i="9"/>
  <c r="F78" i="9"/>
  <c r="E78" i="9"/>
  <c r="D78" i="9"/>
  <c r="G19" i="9"/>
  <c r="F19" i="9"/>
  <c r="E19" i="9"/>
  <c r="D19" i="9"/>
  <c r="E107" i="8"/>
  <c r="D107" i="8"/>
  <c r="F107" i="8"/>
  <c r="F122" i="8"/>
  <c r="E122" i="8"/>
  <c r="D122" i="8"/>
  <c r="F93" i="8"/>
  <c r="E93" i="8"/>
  <c r="D93" i="8"/>
  <c r="E64" i="8"/>
  <c r="F64" i="8"/>
  <c r="D64" i="8"/>
  <c r="G48" i="8"/>
  <c r="F48" i="8"/>
  <c r="E48" i="8"/>
  <c r="D48" i="8"/>
  <c r="F33" i="8"/>
  <c r="E33" i="8"/>
  <c r="D33" i="8"/>
  <c r="E154" i="8"/>
  <c r="G154" i="8"/>
  <c r="G152" i="8" s="1"/>
  <c r="F154" i="8"/>
  <c r="D154" i="8"/>
  <c r="F78" i="8"/>
  <c r="E78" i="8"/>
  <c r="E19" i="8"/>
  <c r="F19" i="8"/>
  <c r="P160" i="9"/>
  <c r="P159" i="9"/>
  <c r="C159" i="9"/>
  <c r="P158" i="9"/>
  <c r="P157" i="9"/>
  <c r="G156" i="9"/>
  <c r="F156" i="9"/>
  <c r="E156" i="9"/>
  <c r="D156" i="9"/>
  <c r="P155" i="9"/>
  <c r="G153" i="9"/>
  <c r="F153" i="9"/>
  <c r="E153" i="9"/>
  <c r="D153" i="9"/>
  <c r="O152" i="9"/>
  <c r="N152" i="9"/>
  <c r="N144" i="9" s="1"/>
  <c r="M152" i="9"/>
  <c r="L152" i="9"/>
  <c r="K152" i="9"/>
  <c r="J152" i="9"/>
  <c r="J144" i="9" s="1"/>
  <c r="I152" i="9"/>
  <c r="H152" i="9"/>
  <c r="D152" i="9"/>
  <c r="P151" i="9"/>
  <c r="C151" i="9"/>
  <c r="G150" i="9"/>
  <c r="F150" i="9"/>
  <c r="E150" i="9"/>
  <c r="D150" i="9"/>
  <c r="P149" i="9"/>
  <c r="P148" i="9"/>
  <c r="G147" i="9"/>
  <c r="G145" i="9" s="1"/>
  <c r="F147" i="9"/>
  <c r="E147" i="9"/>
  <c r="E145" i="9" s="1"/>
  <c r="D147" i="9"/>
  <c r="P146" i="9"/>
  <c r="O145" i="9"/>
  <c r="N145" i="9"/>
  <c r="M145" i="9"/>
  <c r="L145" i="9"/>
  <c r="K145" i="9"/>
  <c r="J145" i="9"/>
  <c r="I145" i="9"/>
  <c r="H145" i="9"/>
  <c r="F145" i="9"/>
  <c r="D145" i="9"/>
  <c r="O144" i="9"/>
  <c r="M144" i="9"/>
  <c r="L144" i="9"/>
  <c r="K144" i="9"/>
  <c r="I144" i="9"/>
  <c r="H144" i="9"/>
  <c r="P143" i="9"/>
  <c r="C143" i="9"/>
  <c r="P142" i="9"/>
  <c r="P141" i="9"/>
  <c r="F140" i="9"/>
  <c r="E140" i="9"/>
  <c r="D140" i="9"/>
  <c r="P140" i="9" s="1"/>
  <c r="P139" i="9"/>
  <c r="P138" i="9"/>
  <c r="G137" i="9"/>
  <c r="F137" i="9"/>
  <c r="E137" i="9"/>
  <c r="D137" i="9"/>
  <c r="O136" i="9"/>
  <c r="N136" i="9"/>
  <c r="M136" i="9"/>
  <c r="L136" i="9"/>
  <c r="K136" i="9"/>
  <c r="J136" i="9"/>
  <c r="I136" i="9"/>
  <c r="H136" i="9"/>
  <c r="G136" i="9"/>
  <c r="F136" i="9"/>
  <c r="E136" i="9"/>
  <c r="P135" i="9"/>
  <c r="C135" i="9"/>
  <c r="G134" i="9"/>
  <c r="F134" i="9"/>
  <c r="E134" i="9"/>
  <c r="D134" i="9"/>
  <c r="D129" i="9" s="1"/>
  <c r="P133" i="9"/>
  <c r="P132" i="9"/>
  <c r="F131" i="9"/>
  <c r="E131" i="9"/>
  <c r="E129" i="9" s="1"/>
  <c r="E128" i="9" s="1"/>
  <c r="D131" i="9"/>
  <c r="P130" i="9"/>
  <c r="O129" i="9"/>
  <c r="N129" i="9"/>
  <c r="M129" i="9"/>
  <c r="L129" i="9"/>
  <c r="K129" i="9"/>
  <c r="J129" i="9"/>
  <c r="I129" i="9"/>
  <c r="H129" i="9"/>
  <c r="G129" i="9"/>
  <c r="F129" i="9"/>
  <c r="O128" i="9"/>
  <c r="N128" i="9"/>
  <c r="M128" i="9"/>
  <c r="L128" i="9"/>
  <c r="K128" i="9"/>
  <c r="J128" i="9"/>
  <c r="I128" i="9"/>
  <c r="H128" i="9"/>
  <c r="G128" i="9"/>
  <c r="F128" i="9"/>
  <c r="P127" i="9"/>
  <c r="C127" i="9"/>
  <c r="P126" i="9"/>
  <c r="D125" i="9"/>
  <c r="P125" i="9" s="1"/>
  <c r="F124" i="9"/>
  <c r="E124" i="9"/>
  <c r="D124" i="9"/>
  <c r="G123" i="9"/>
  <c r="F123" i="9"/>
  <c r="E123" i="9"/>
  <c r="D123" i="9"/>
  <c r="G121" i="9"/>
  <c r="F121" i="9"/>
  <c r="E121" i="9"/>
  <c r="D121" i="9"/>
  <c r="O120" i="9"/>
  <c r="O113" i="9" s="1"/>
  <c r="N120" i="9"/>
  <c r="M120" i="9"/>
  <c r="M113" i="9" s="1"/>
  <c r="L120" i="9"/>
  <c r="K120" i="9"/>
  <c r="K113" i="9" s="1"/>
  <c r="J120" i="9"/>
  <c r="I120" i="9"/>
  <c r="I113" i="9" s="1"/>
  <c r="H120" i="9"/>
  <c r="D120" i="9"/>
  <c r="P119" i="9"/>
  <c r="C119" i="9"/>
  <c r="P118" i="9"/>
  <c r="P117" i="9"/>
  <c r="P116" i="9"/>
  <c r="F115" i="9"/>
  <c r="E115" i="9"/>
  <c r="D115" i="9"/>
  <c r="O114" i="9"/>
  <c r="N114" i="9"/>
  <c r="M114" i="9"/>
  <c r="L114" i="9"/>
  <c r="K114" i="9"/>
  <c r="J114" i="9"/>
  <c r="I114" i="9"/>
  <c r="H114" i="9"/>
  <c r="G114" i="9"/>
  <c r="F114" i="9"/>
  <c r="E114" i="9"/>
  <c r="D114" i="9"/>
  <c r="N113" i="9"/>
  <c r="L113" i="9"/>
  <c r="J113" i="9"/>
  <c r="H113" i="9"/>
  <c r="P112" i="9"/>
  <c r="C112" i="9"/>
  <c r="P111" i="9"/>
  <c r="D110" i="9"/>
  <c r="F109" i="9"/>
  <c r="E109" i="9"/>
  <c r="P109" i="9" s="1"/>
  <c r="P108" i="9"/>
  <c r="F106" i="9"/>
  <c r="E106" i="9"/>
  <c r="D106" i="9"/>
  <c r="J105" i="9"/>
  <c r="P104" i="9"/>
  <c r="C104" i="9"/>
  <c r="G103" i="9"/>
  <c r="G99" i="9" s="1"/>
  <c r="F103" i="9"/>
  <c r="E103" i="9"/>
  <c r="D103" i="9"/>
  <c r="P102" i="9"/>
  <c r="F101" i="9"/>
  <c r="E101" i="9"/>
  <c r="E99" i="9" s="1"/>
  <c r="D101" i="9"/>
  <c r="P100" i="9"/>
  <c r="O99" i="9"/>
  <c r="N99" i="9"/>
  <c r="M99" i="9"/>
  <c r="L99" i="9"/>
  <c r="K99" i="9"/>
  <c r="J99" i="9"/>
  <c r="I99" i="9"/>
  <c r="H99" i="9"/>
  <c r="F99" i="9"/>
  <c r="D99" i="9"/>
  <c r="O98" i="9"/>
  <c r="N98" i="9"/>
  <c r="M98" i="9"/>
  <c r="L98" i="9"/>
  <c r="K98" i="9"/>
  <c r="J98" i="9"/>
  <c r="I98" i="9"/>
  <c r="H98" i="9"/>
  <c r="P97" i="9"/>
  <c r="C97" i="9"/>
  <c r="P96" i="9"/>
  <c r="P95" i="9"/>
  <c r="G94" i="9"/>
  <c r="F94" i="9"/>
  <c r="E94" i="9"/>
  <c r="D94" i="9"/>
  <c r="P94" i="9" s="1"/>
  <c r="F92" i="9"/>
  <c r="D92" i="9"/>
  <c r="P92" i="9" s="1"/>
  <c r="O91" i="9"/>
  <c r="N91" i="9"/>
  <c r="M91" i="9"/>
  <c r="L91" i="9"/>
  <c r="K91" i="9"/>
  <c r="J91" i="9"/>
  <c r="I91" i="9"/>
  <c r="H91" i="9"/>
  <c r="G91" i="9"/>
  <c r="F91" i="9"/>
  <c r="E91" i="9"/>
  <c r="P90" i="9"/>
  <c r="C90" i="9"/>
  <c r="G89" i="9"/>
  <c r="G85" i="9" s="1"/>
  <c r="F89" i="9"/>
  <c r="E89" i="9"/>
  <c r="E85" i="9" s="1"/>
  <c r="D89" i="9"/>
  <c r="P88" i="9"/>
  <c r="P87" i="9"/>
  <c r="P86" i="9"/>
  <c r="O85" i="9"/>
  <c r="N85" i="9"/>
  <c r="M85" i="9"/>
  <c r="L85" i="9"/>
  <c r="K85" i="9"/>
  <c r="J85" i="9"/>
  <c r="I85" i="9"/>
  <c r="H85" i="9"/>
  <c r="F85" i="9"/>
  <c r="D85" i="9"/>
  <c r="O84" i="9"/>
  <c r="N84" i="9"/>
  <c r="M84" i="9"/>
  <c r="L84" i="9"/>
  <c r="K84" i="9"/>
  <c r="J84" i="9"/>
  <c r="I84" i="9"/>
  <c r="H84" i="9"/>
  <c r="F84" i="9"/>
  <c r="P83" i="9"/>
  <c r="C83" i="9"/>
  <c r="P82" i="9"/>
  <c r="P81" i="9"/>
  <c r="G80" i="9"/>
  <c r="F80" i="9"/>
  <c r="E80" i="9"/>
  <c r="D80" i="9"/>
  <c r="D76" i="9" s="1"/>
  <c r="P76" i="9" s="1"/>
  <c r="P79" i="9"/>
  <c r="P78" i="9"/>
  <c r="G77" i="9"/>
  <c r="F77" i="9"/>
  <c r="E77" i="9"/>
  <c r="D77" i="9"/>
  <c r="O76" i="9"/>
  <c r="N76" i="9"/>
  <c r="N69" i="9" s="1"/>
  <c r="M76" i="9"/>
  <c r="L76" i="9"/>
  <c r="L69" i="9" s="1"/>
  <c r="K76" i="9"/>
  <c r="J76" i="9"/>
  <c r="J69" i="9" s="1"/>
  <c r="I76" i="9"/>
  <c r="H76" i="9"/>
  <c r="H69" i="9" s="1"/>
  <c r="G76" i="9"/>
  <c r="F76" i="9"/>
  <c r="E76" i="9"/>
  <c r="P75" i="9"/>
  <c r="C75" i="9"/>
  <c r="G74" i="9"/>
  <c r="F74" i="9"/>
  <c r="F70" i="9" s="1"/>
  <c r="F69" i="9" s="1"/>
  <c r="E74" i="9"/>
  <c r="D74" i="9"/>
  <c r="D70" i="9" s="1"/>
  <c r="P73" i="9"/>
  <c r="P72" i="9"/>
  <c r="P71" i="9"/>
  <c r="O70" i="9"/>
  <c r="N70" i="9"/>
  <c r="M70" i="9"/>
  <c r="L70" i="9"/>
  <c r="K70" i="9"/>
  <c r="J70" i="9"/>
  <c r="I70" i="9"/>
  <c r="H70" i="9"/>
  <c r="G70" i="9"/>
  <c r="E70" i="9"/>
  <c r="O69" i="9"/>
  <c r="M69" i="9"/>
  <c r="K69" i="9"/>
  <c r="I69" i="9"/>
  <c r="G69" i="9"/>
  <c r="E69" i="9"/>
  <c r="P68" i="9"/>
  <c r="C68" i="9"/>
  <c r="P67" i="9"/>
  <c r="P66" i="9"/>
  <c r="P65" i="9"/>
  <c r="G63" i="9"/>
  <c r="G62" i="9" s="1"/>
  <c r="F63" i="9"/>
  <c r="E63" i="9"/>
  <c r="D63" i="9"/>
  <c r="P63" i="9" s="1"/>
  <c r="O62" i="9"/>
  <c r="N62" i="9"/>
  <c r="N55" i="9" s="1"/>
  <c r="M62" i="9"/>
  <c r="L62" i="9"/>
  <c r="L55" i="9" s="1"/>
  <c r="K62" i="9"/>
  <c r="J62" i="9"/>
  <c r="J55" i="9" s="1"/>
  <c r="I62" i="9"/>
  <c r="H62" i="9"/>
  <c r="H55" i="9" s="1"/>
  <c r="P61" i="9"/>
  <c r="C61" i="9"/>
  <c r="P60" i="9"/>
  <c r="P59" i="9"/>
  <c r="F58" i="9"/>
  <c r="F56" i="9" s="1"/>
  <c r="E58" i="9"/>
  <c r="D58" i="9"/>
  <c r="P58" i="9" s="1"/>
  <c r="P57" i="9"/>
  <c r="O56" i="9"/>
  <c r="N56" i="9"/>
  <c r="M56" i="9"/>
  <c r="L56" i="9"/>
  <c r="K56" i="9"/>
  <c r="J56" i="9"/>
  <c r="I56" i="9"/>
  <c r="I55" i="9" s="1"/>
  <c r="H56" i="9"/>
  <c r="G56" i="9"/>
  <c r="E56" i="9"/>
  <c r="O55" i="9"/>
  <c r="M55" i="9"/>
  <c r="K55" i="9"/>
  <c r="P54" i="9"/>
  <c r="P53" i="9"/>
  <c r="C53" i="9"/>
  <c r="P52" i="9"/>
  <c r="P51" i="9"/>
  <c r="F50" i="9"/>
  <c r="E50" i="9"/>
  <c r="D50" i="9"/>
  <c r="G49" i="9"/>
  <c r="G46" i="9" s="1"/>
  <c r="F49" i="9"/>
  <c r="E49" i="9"/>
  <c r="E46" i="9" s="1"/>
  <c r="E39" i="9" s="1"/>
  <c r="D49" i="9"/>
  <c r="P48" i="9"/>
  <c r="G47" i="9"/>
  <c r="F47" i="9"/>
  <c r="E47" i="9"/>
  <c r="D47" i="9"/>
  <c r="O46" i="9"/>
  <c r="N46" i="9"/>
  <c r="N39" i="9" s="1"/>
  <c r="M46" i="9"/>
  <c r="L46" i="9"/>
  <c r="L39" i="9" s="1"/>
  <c r="K46" i="9"/>
  <c r="J46" i="9"/>
  <c r="J39" i="9" s="1"/>
  <c r="I46" i="9"/>
  <c r="H46" i="9"/>
  <c r="H39" i="9" s="1"/>
  <c r="F46" i="9"/>
  <c r="D46" i="9"/>
  <c r="P45" i="9"/>
  <c r="C45" i="9"/>
  <c r="G44" i="9"/>
  <c r="F44" i="9"/>
  <c r="F40" i="9" s="1"/>
  <c r="E44" i="9"/>
  <c r="D44" i="9"/>
  <c r="D40" i="9" s="1"/>
  <c r="P43" i="9"/>
  <c r="P42" i="9"/>
  <c r="P41" i="9"/>
  <c r="O40" i="9"/>
  <c r="N40" i="9"/>
  <c r="M40" i="9"/>
  <c r="L40" i="9"/>
  <c r="K40" i="9"/>
  <c r="J40" i="9"/>
  <c r="I40" i="9"/>
  <c r="H40" i="9"/>
  <c r="G40" i="9"/>
  <c r="E40" i="9"/>
  <c r="O39" i="9"/>
  <c r="M39" i="9"/>
  <c r="K39" i="9"/>
  <c r="I39" i="9"/>
  <c r="P38" i="9"/>
  <c r="C38" i="9"/>
  <c r="P37" i="9"/>
  <c r="P36" i="9"/>
  <c r="G35" i="9"/>
  <c r="F35" i="9"/>
  <c r="E35" i="9"/>
  <c r="D35" i="9"/>
  <c r="P35" i="9" s="1"/>
  <c r="P34" i="9"/>
  <c r="G32" i="9"/>
  <c r="F32" i="9"/>
  <c r="E32" i="9"/>
  <c r="E31" i="9" s="1"/>
  <c r="D32" i="9"/>
  <c r="O31" i="9"/>
  <c r="O24" i="9" s="1"/>
  <c r="N31" i="9"/>
  <c r="M31" i="9"/>
  <c r="M24" i="9" s="1"/>
  <c r="L31" i="9"/>
  <c r="K31" i="9"/>
  <c r="K24" i="9" s="1"/>
  <c r="J31" i="9"/>
  <c r="I31" i="9"/>
  <c r="I24" i="9" s="1"/>
  <c r="H31" i="9"/>
  <c r="P30" i="9"/>
  <c r="C30" i="9"/>
  <c r="P29" i="9"/>
  <c r="P28" i="9"/>
  <c r="G27" i="9"/>
  <c r="G25" i="9" s="1"/>
  <c r="F27" i="9"/>
  <c r="E27" i="9"/>
  <c r="E25" i="9" s="1"/>
  <c r="D27" i="9"/>
  <c r="F26" i="9"/>
  <c r="E26" i="9"/>
  <c r="D26" i="9"/>
  <c r="O25" i="9"/>
  <c r="N25" i="9"/>
  <c r="M25" i="9"/>
  <c r="L25" i="9"/>
  <c r="K25" i="9"/>
  <c r="J25" i="9"/>
  <c r="I25" i="9"/>
  <c r="H25" i="9"/>
  <c r="F25" i="9"/>
  <c r="D25" i="9"/>
  <c r="N24" i="9"/>
  <c r="L24" i="9"/>
  <c r="J24" i="9"/>
  <c r="H24" i="9"/>
  <c r="P23" i="9"/>
  <c r="C23" i="9"/>
  <c r="G22" i="9"/>
  <c r="G17" i="9" s="1"/>
  <c r="F22" i="9"/>
  <c r="E22" i="9"/>
  <c r="D22" i="9"/>
  <c r="D17" i="9" s="1"/>
  <c r="P21" i="9"/>
  <c r="P20" i="9"/>
  <c r="F18" i="9"/>
  <c r="E18" i="9"/>
  <c r="E17" i="9" s="1"/>
  <c r="D18" i="9"/>
  <c r="O17" i="9"/>
  <c r="O6" i="9" s="1"/>
  <c r="N17" i="9"/>
  <c r="M17" i="9"/>
  <c r="M6" i="9" s="1"/>
  <c r="L17" i="9"/>
  <c r="K17" i="9"/>
  <c r="K6" i="9" s="1"/>
  <c r="J17" i="9"/>
  <c r="I17" i="9"/>
  <c r="I6" i="9" s="1"/>
  <c r="H17" i="9"/>
  <c r="P16" i="9"/>
  <c r="C16" i="9"/>
  <c r="P15" i="9"/>
  <c r="P14" i="9"/>
  <c r="P13" i="9"/>
  <c r="P12" i="9"/>
  <c r="P11" i="9"/>
  <c r="G10" i="9"/>
  <c r="F10" i="9"/>
  <c r="F7" i="9" s="1"/>
  <c r="E10" i="9"/>
  <c r="D10" i="9"/>
  <c r="P9" i="9"/>
  <c r="P8" i="9"/>
  <c r="O7" i="9"/>
  <c r="N7" i="9"/>
  <c r="M7" i="9"/>
  <c r="L7" i="9"/>
  <c r="K7" i="9"/>
  <c r="J7" i="9"/>
  <c r="J6" i="9" s="1"/>
  <c r="I7" i="9"/>
  <c r="H7" i="9"/>
  <c r="H6" i="9" s="1"/>
  <c r="G7" i="9"/>
  <c r="E7" i="9"/>
  <c r="D7" i="9"/>
  <c r="N6" i="9"/>
  <c r="L6" i="9"/>
  <c r="P129" i="9" l="1"/>
  <c r="D69" i="9"/>
  <c r="P69" i="9" s="1"/>
  <c r="Q85" i="9"/>
  <c r="R85" i="9" s="1"/>
  <c r="G84" i="9"/>
  <c r="D31" i="9"/>
  <c r="P47" i="9"/>
  <c r="P77" i="9"/>
  <c r="P85" i="9"/>
  <c r="P115" i="9"/>
  <c r="D136" i="9"/>
  <c r="P136" i="9" s="1"/>
  <c r="P137" i="9"/>
  <c r="P153" i="9"/>
  <c r="P99" i="9"/>
  <c r="P25" i="9"/>
  <c r="P26" i="9"/>
  <c r="P46" i="9"/>
  <c r="P18" i="9"/>
  <c r="D56" i="9"/>
  <c r="D62" i="9"/>
  <c r="D55" i="9" s="1"/>
  <c r="P55" i="9" s="1"/>
  <c r="G55" i="9"/>
  <c r="P150" i="9"/>
  <c r="P156" i="9"/>
  <c r="P22" i="9"/>
  <c r="P44" i="9"/>
  <c r="F39" i="9"/>
  <c r="P74" i="9"/>
  <c r="P80" i="9"/>
  <c r="P106" i="9"/>
  <c r="P121" i="9"/>
  <c r="P123" i="9"/>
  <c r="P124" i="9"/>
  <c r="P131" i="9"/>
  <c r="G31" i="9"/>
  <c r="G24" i="9" s="1"/>
  <c r="G98" i="9"/>
  <c r="G120" i="9"/>
  <c r="G113" i="9" s="1"/>
  <c r="P27" i="9"/>
  <c r="P40" i="9"/>
  <c r="G39" i="9"/>
  <c r="P70" i="9"/>
  <c r="P89" i="9"/>
  <c r="P101" i="9"/>
  <c r="P103" i="9"/>
  <c r="P134" i="9"/>
  <c r="P145" i="9"/>
  <c r="E152" i="9"/>
  <c r="E144" i="9" s="1"/>
  <c r="P10" i="9"/>
  <c r="E24" i="9"/>
  <c r="P147" i="9"/>
  <c r="F17" i="9"/>
  <c r="F6" i="9" s="1"/>
  <c r="F62" i="9"/>
  <c r="F55" i="9" s="1"/>
  <c r="E105" i="9"/>
  <c r="E98" i="9" s="1"/>
  <c r="E120" i="9"/>
  <c r="F152" i="9"/>
  <c r="F144" i="9" s="1"/>
  <c r="P32" i="9"/>
  <c r="P49" i="9"/>
  <c r="P50" i="9"/>
  <c r="P56" i="9"/>
  <c r="E84" i="9"/>
  <c r="F31" i="9"/>
  <c r="F24" i="9" s="1"/>
  <c r="E62" i="9"/>
  <c r="E55" i="9" s="1"/>
  <c r="F105" i="9"/>
  <c r="F98" i="9" s="1"/>
  <c r="P122" i="9"/>
  <c r="G152" i="9"/>
  <c r="G144" i="9" s="1"/>
  <c r="E6" i="9"/>
  <c r="G6" i="9"/>
  <c r="E113" i="9"/>
  <c r="P114" i="9"/>
  <c r="P154" i="9"/>
  <c r="D144" i="9"/>
  <c r="F120" i="9"/>
  <c r="F113" i="9" s="1"/>
  <c r="D113" i="9"/>
  <c r="P107" i="9"/>
  <c r="D105" i="9"/>
  <c r="P93" i="9"/>
  <c r="D91" i="9"/>
  <c r="D84" i="9" s="1"/>
  <c r="P64" i="9"/>
  <c r="P62" i="9"/>
  <c r="D39" i="9"/>
  <c r="P39" i="9" s="1"/>
  <c r="P33" i="9"/>
  <c r="P31" i="9"/>
  <c r="D24" i="9"/>
  <c r="P24" i="9" s="1"/>
  <c r="P17" i="9"/>
  <c r="P19" i="9"/>
  <c r="D6" i="9"/>
  <c r="F131" i="8"/>
  <c r="F129" i="8" s="1"/>
  <c r="F128" i="8" s="1"/>
  <c r="E131" i="8"/>
  <c r="D131" i="8"/>
  <c r="F115" i="8"/>
  <c r="F114" i="8" s="1"/>
  <c r="E115" i="8"/>
  <c r="D115" i="8"/>
  <c r="D114" i="8" s="1"/>
  <c r="F105" i="8"/>
  <c r="E105" i="8"/>
  <c r="F101" i="8"/>
  <c r="F99" i="8" s="1"/>
  <c r="E101" i="8"/>
  <c r="E99" i="8" s="1"/>
  <c r="D101" i="8"/>
  <c r="F58" i="8"/>
  <c r="E58" i="8"/>
  <c r="P58" i="8" s="1"/>
  <c r="D58" i="8"/>
  <c r="G27" i="8"/>
  <c r="G25" i="8" s="1"/>
  <c r="F27" i="8"/>
  <c r="E27" i="8"/>
  <c r="P27" i="8" s="1"/>
  <c r="D27" i="8"/>
  <c r="F26" i="8"/>
  <c r="E26" i="8"/>
  <c r="D26" i="8"/>
  <c r="P159" i="8"/>
  <c r="C159" i="8"/>
  <c r="P158" i="8"/>
  <c r="P157" i="8"/>
  <c r="P156" i="8"/>
  <c r="P155" i="8"/>
  <c r="P154" i="8"/>
  <c r="P153" i="8"/>
  <c r="O152" i="8"/>
  <c r="N152" i="8"/>
  <c r="M152" i="8"/>
  <c r="L152" i="8"/>
  <c r="L144" i="8" s="1"/>
  <c r="K152" i="8"/>
  <c r="J152" i="8"/>
  <c r="I152" i="8"/>
  <c r="I144" i="8" s="1"/>
  <c r="H152" i="8"/>
  <c r="H144" i="8" s="1"/>
  <c r="F152" i="8"/>
  <c r="E152" i="8"/>
  <c r="D152" i="8"/>
  <c r="P151" i="8"/>
  <c r="C151" i="8"/>
  <c r="P150" i="8"/>
  <c r="P149" i="8"/>
  <c r="P148" i="8"/>
  <c r="P147" i="8"/>
  <c r="P146" i="8"/>
  <c r="O145" i="8"/>
  <c r="N145" i="8"/>
  <c r="M145" i="8"/>
  <c r="L145" i="8"/>
  <c r="K145" i="8"/>
  <c r="K144" i="8" s="1"/>
  <c r="J145" i="8"/>
  <c r="I145" i="8"/>
  <c r="H145" i="8"/>
  <c r="G145" i="8"/>
  <c r="F145" i="8"/>
  <c r="E145" i="8"/>
  <c r="D145" i="8"/>
  <c r="O144" i="8"/>
  <c r="M144" i="8"/>
  <c r="P143" i="8"/>
  <c r="C143" i="8"/>
  <c r="P142" i="8"/>
  <c r="P141" i="8"/>
  <c r="P140" i="8"/>
  <c r="P139" i="8"/>
  <c r="P138" i="8"/>
  <c r="P137" i="8"/>
  <c r="O136" i="8"/>
  <c r="N136" i="8"/>
  <c r="M136" i="8"/>
  <c r="L136" i="8"/>
  <c r="K136" i="8"/>
  <c r="J136" i="8"/>
  <c r="I136" i="8"/>
  <c r="H136" i="8"/>
  <c r="G136" i="8"/>
  <c r="F136" i="8"/>
  <c r="E136" i="8"/>
  <c r="D136" i="8"/>
  <c r="P135" i="8"/>
  <c r="C135" i="8"/>
  <c r="P134" i="8"/>
  <c r="P133" i="8"/>
  <c r="P132" i="8"/>
  <c r="P130" i="8"/>
  <c r="O129" i="8"/>
  <c r="N129" i="8"/>
  <c r="N128" i="8" s="1"/>
  <c r="M129" i="8"/>
  <c r="M128" i="8" s="1"/>
  <c r="L129" i="8"/>
  <c r="K129" i="8"/>
  <c r="J129" i="8"/>
  <c r="J128" i="8" s="1"/>
  <c r="I129" i="8"/>
  <c r="H129" i="8"/>
  <c r="G129" i="8"/>
  <c r="E129" i="8"/>
  <c r="E128" i="8" s="1"/>
  <c r="I128" i="8"/>
  <c r="P127" i="8"/>
  <c r="C127" i="8"/>
  <c r="P126" i="8"/>
  <c r="P125" i="8"/>
  <c r="P124" i="8"/>
  <c r="P123" i="8"/>
  <c r="P122" i="8"/>
  <c r="E120" i="8"/>
  <c r="P121" i="8"/>
  <c r="O120" i="8"/>
  <c r="N120" i="8"/>
  <c r="M120" i="8"/>
  <c r="L120" i="8"/>
  <c r="K120" i="8"/>
  <c r="J120" i="8"/>
  <c r="I120" i="8"/>
  <c r="H120" i="8"/>
  <c r="G120" i="8"/>
  <c r="F120" i="8"/>
  <c r="D120" i="8"/>
  <c r="P119" i="8"/>
  <c r="C119" i="8"/>
  <c r="P118" i="8"/>
  <c r="P117" i="8"/>
  <c r="P116" i="8"/>
  <c r="O114" i="8"/>
  <c r="O113" i="8" s="1"/>
  <c r="N114" i="8"/>
  <c r="N113" i="8" s="1"/>
  <c r="M114" i="8"/>
  <c r="M113" i="8" s="1"/>
  <c r="L114" i="8"/>
  <c r="K114" i="8"/>
  <c r="K113" i="8" s="1"/>
  <c r="J114" i="8"/>
  <c r="J113" i="8" s="1"/>
  <c r="I114" i="8"/>
  <c r="I113" i="8" s="1"/>
  <c r="H114" i="8"/>
  <c r="H113" i="8" s="1"/>
  <c r="G114" i="8"/>
  <c r="G113" i="8" s="1"/>
  <c r="E114" i="8"/>
  <c r="L113" i="8"/>
  <c r="P112" i="8"/>
  <c r="C112" i="8"/>
  <c r="P110" i="8"/>
  <c r="P109" i="8"/>
  <c r="P108" i="8"/>
  <c r="P107" i="8"/>
  <c r="P106" i="8"/>
  <c r="J105" i="8"/>
  <c r="G105" i="8"/>
  <c r="D105" i="8"/>
  <c r="P104" i="8"/>
  <c r="C104" i="8"/>
  <c r="P103" i="8"/>
  <c r="P102" i="8"/>
  <c r="P100" i="8"/>
  <c r="O99" i="8"/>
  <c r="N99" i="8"/>
  <c r="N98" i="8" s="1"/>
  <c r="M99" i="8"/>
  <c r="M98" i="8" s="1"/>
  <c r="L99" i="8"/>
  <c r="L98" i="8" s="1"/>
  <c r="K99" i="8"/>
  <c r="K98" i="8" s="1"/>
  <c r="J99" i="8"/>
  <c r="I99" i="8"/>
  <c r="H99" i="8"/>
  <c r="H98" i="8" s="1"/>
  <c r="O98" i="8"/>
  <c r="I98" i="8"/>
  <c r="P97" i="8"/>
  <c r="C97" i="8"/>
  <c r="P96" i="8"/>
  <c r="P95" i="8"/>
  <c r="P94" i="8"/>
  <c r="P93" i="8"/>
  <c r="P92" i="8"/>
  <c r="O91" i="8"/>
  <c r="N91" i="8"/>
  <c r="M91" i="8"/>
  <c r="L91" i="8"/>
  <c r="K91" i="8"/>
  <c r="J91" i="8"/>
  <c r="I91" i="8"/>
  <c r="H91" i="8"/>
  <c r="G91" i="8"/>
  <c r="F91" i="8"/>
  <c r="E91" i="8"/>
  <c r="D91" i="8"/>
  <c r="P90" i="8"/>
  <c r="C90" i="8"/>
  <c r="P89" i="8"/>
  <c r="P88" i="8"/>
  <c r="P87" i="8"/>
  <c r="P86" i="8"/>
  <c r="O85" i="8"/>
  <c r="N85" i="8"/>
  <c r="N84" i="8" s="1"/>
  <c r="M85" i="8"/>
  <c r="M84" i="8" s="1"/>
  <c r="L85" i="8"/>
  <c r="K85" i="8"/>
  <c r="J85" i="8"/>
  <c r="J84" i="8" s="1"/>
  <c r="I85" i="8"/>
  <c r="I84" i="8" s="1"/>
  <c r="H85" i="8"/>
  <c r="G85" i="8"/>
  <c r="Q85" i="8" s="1"/>
  <c r="R85" i="8" s="1"/>
  <c r="F85" i="8"/>
  <c r="F84" i="8" s="1"/>
  <c r="E85" i="8"/>
  <c r="E84" i="8" s="1"/>
  <c r="D85" i="8"/>
  <c r="P83" i="8"/>
  <c r="C83" i="8"/>
  <c r="P82" i="8"/>
  <c r="P81" i="8"/>
  <c r="P80" i="8"/>
  <c r="P79" i="8"/>
  <c r="P78" i="8"/>
  <c r="P77" i="8"/>
  <c r="O76" i="8"/>
  <c r="N76" i="8"/>
  <c r="M76" i="8"/>
  <c r="L76" i="8"/>
  <c r="K76" i="8"/>
  <c r="J76" i="8"/>
  <c r="I76" i="8"/>
  <c r="H76" i="8"/>
  <c r="G76" i="8"/>
  <c r="F76" i="8"/>
  <c r="E76" i="8"/>
  <c r="D76" i="8"/>
  <c r="P75" i="8"/>
  <c r="P74" i="8"/>
  <c r="P73" i="8"/>
  <c r="P72" i="8"/>
  <c r="P71" i="8"/>
  <c r="O70" i="8"/>
  <c r="O69" i="8" s="1"/>
  <c r="N70" i="8"/>
  <c r="M70" i="8"/>
  <c r="M69" i="8" s="1"/>
  <c r="L70" i="8"/>
  <c r="L69" i="8" s="1"/>
  <c r="K70" i="8"/>
  <c r="K69" i="8" s="1"/>
  <c r="J70" i="8"/>
  <c r="I70" i="8"/>
  <c r="I69" i="8" s="1"/>
  <c r="H70" i="8"/>
  <c r="H69" i="8" s="1"/>
  <c r="G70" i="8"/>
  <c r="G69" i="8" s="1"/>
  <c r="F70" i="8"/>
  <c r="E70" i="8"/>
  <c r="D70" i="8"/>
  <c r="N69" i="8"/>
  <c r="P68" i="8"/>
  <c r="C68" i="8"/>
  <c r="P67" i="8"/>
  <c r="P66" i="8"/>
  <c r="P65" i="8"/>
  <c r="P64" i="8"/>
  <c r="P63" i="8"/>
  <c r="O62" i="8"/>
  <c r="N62" i="8"/>
  <c r="M62" i="8"/>
  <c r="L62" i="8"/>
  <c r="K62" i="8"/>
  <c r="J62" i="8"/>
  <c r="I62" i="8"/>
  <c r="H62" i="8"/>
  <c r="H55" i="8" s="1"/>
  <c r="G62" i="8"/>
  <c r="F62" i="8"/>
  <c r="E62" i="8"/>
  <c r="D62" i="8"/>
  <c r="P61" i="8"/>
  <c r="C61" i="8"/>
  <c r="P60" i="8"/>
  <c r="P59" i="8"/>
  <c r="P57" i="8"/>
  <c r="O56" i="8"/>
  <c r="N56" i="8"/>
  <c r="M56" i="8"/>
  <c r="L56" i="8"/>
  <c r="K56" i="8"/>
  <c r="J56" i="8"/>
  <c r="J55" i="8" s="1"/>
  <c r="I56" i="8"/>
  <c r="H56" i="8"/>
  <c r="G56" i="8"/>
  <c r="F56" i="8"/>
  <c r="D56" i="8"/>
  <c r="P54" i="8"/>
  <c r="P53" i="8"/>
  <c r="C53" i="8"/>
  <c r="P52" i="8"/>
  <c r="P51" i="8"/>
  <c r="P50" i="8"/>
  <c r="P49" i="8"/>
  <c r="P48" i="8"/>
  <c r="P47" i="8"/>
  <c r="O46" i="8"/>
  <c r="N46" i="8"/>
  <c r="M46" i="8"/>
  <c r="L46" i="8"/>
  <c r="K46" i="8"/>
  <c r="J46" i="8"/>
  <c r="I46" i="8"/>
  <c r="H46" i="8"/>
  <c r="G46" i="8"/>
  <c r="F46" i="8"/>
  <c r="E46" i="8"/>
  <c r="D46" i="8"/>
  <c r="P45" i="8"/>
  <c r="C45" i="8"/>
  <c r="P44" i="8"/>
  <c r="P43" i="8"/>
  <c r="P42" i="8"/>
  <c r="P41" i="8"/>
  <c r="O40" i="8"/>
  <c r="N40" i="8"/>
  <c r="M40" i="8"/>
  <c r="L40" i="8"/>
  <c r="K40" i="8"/>
  <c r="J40" i="8"/>
  <c r="J39" i="8" s="1"/>
  <c r="I40" i="8"/>
  <c r="H40" i="8"/>
  <c r="G40" i="8"/>
  <c r="F40" i="8"/>
  <c r="E40" i="8"/>
  <c r="D40" i="8"/>
  <c r="H39" i="8"/>
  <c r="P38" i="8"/>
  <c r="C38" i="8"/>
  <c r="P37" i="8"/>
  <c r="P36" i="8"/>
  <c r="P35" i="8"/>
  <c r="P34" i="8"/>
  <c r="P33" i="8"/>
  <c r="P32" i="8"/>
  <c r="O31" i="8"/>
  <c r="N31" i="8"/>
  <c r="M31" i="8"/>
  <c r="L31" i="8"/>
  <c r="K31" i="8"/>
  <c r="J31" i="8"/>
  <c r="I31" i="8"/>
  <c r="H31" i="8"/>
  <c r="G31" i="8"/>
  <c r="F31" i="8"/>
  <c r="E31" i="8"/>
  <c r="D31" i="8"/>
  <c r="P30" i="8"/>
  <c r="C30" i="8"/>
  <c r="P29" i="8"/>
  <c r="P28" i="8"/>
  <c r="O25" i="8"/>
  <c r="N25" i="8"/>
  <c r="N24" i="8" s="1"/>
  <c r="M25" i="8"/>
  <c r="L25" i="8"/>
  <c r="K25" i="8"/>
  <c r="K24" i="8" s="1"/>
  <c r="J25" i="8"/>
  <c r="J24" i="8" s="1"/>
  <c r="I25" i="8"/>
  <c r="H25" i="8"/>
  <c r="F25" i="8"/>
  <c r="F24" i="8" s="1"/>
  <c r="O24" i="8"/>
  <c r="P23" i="8"/>
  <c r="C23" i="8"/>
  <c r="P22" i="8"/>
  <c r="P21" i="8"/>
  <c r="P20" i="8"/>
  <c r="P19" i="8"/>
  <c r="P18" i="8"/>
  <c r="O17" i="8"/>
  <c r="N17" i="8"/>
  <c r="M17" i="8"/>
  <c r="L17" i="8"/>
  <c r="K17" i="8"/>
  <c r="J17" i="8"/>
  <c r="I17" i="8"/>
  <c r="H17" i="8"/>
  <c r="G17" i="8"/>
  <c r="F17" i="8"/>
  <c r="E17" i="8"/>
  <c r="D17" i="8"/>
  <c r="P16" i="8"/>
  <c r="C16" i="8"/>
  <c r="P15" i="8"/>
  <c r="P14" i="8"/>
  <c r="P13" i="8"/>
  <c r="P12" i="8"/>
  <c r="P11" i="8"/>
  <c r="P10" i="8"/>
  <c r="P9" i="8"/>
  <c r="P8" i="8"/>
  <c r="O7" i="8"/>
  <c r="N7" i="8"/>
  <c r="M7" i="8"/>
  <c r="M6" i="8" s="1"/>
  <c r="L7" i="8"/>
  <c r="L6" i="8" s="1"/>
  <c r="K7" i="8"/>
  <c r="J7" i="8"/>
  <c r="I7" i="8"/>
  <c r="I6" i="8" s="1"/>
  <c r="H7" i="8"/>
  <c r="H6" i="8" s="1"/>
  <c r="G7" i="8"/>
  <c r="F7" i="8"/>
  <c r="E7" i="8"/>
  <c r="E6" i="8" s="1"/>
  <c r="D7" i="8"/>
  <c r="L39" i="8" l="1"/>
  <c r="D55" i="8"/>
  <c r="L55" i="8"/>
  <c r="K84" i="8"/>
  <c r="H128" i="8"/>
  <c r="L128" i="8"/>
  <c r="D128" i="9"/>
  <c r="P128" i="9" s="1"/>
  <c r="H24" i="8"/>
  <c r="L24" i="8"/>
  <c r="I39" i="8"/>
  <c r="M39" i="8"/>
  <c r="E56" i="8"/>
  <c r="P56" i="8" s="1"/>
  <c r="I55" i="8"/>
  <c r="M55" i="8"/>
  <c r="P84" i="9"/>
  <c r="N55" i="8"/>
  <c r="J98" i="8"/>
  <c r="K128" i="8"/>
  <c r="O128" i="8"/>
  <c r="F144" i="8"/>
  <c r="P152" i="9"/>
  <c r="J6" i="8"/>
  <c r="N6" i="8"/>
  <c r="K6" i="8"/>
  <c r="O6" i="8"/>
  <c r="I24" i="8"/>
  <c r="M24" i="8"/>
  <c r="J69" i="8"/>
  <c r="F39" i="8"/>
  <c r="N39" i="8"/>
  <c r="G84" i="8"/>
  <c r="O84" i="8"/>
  <c r="J144" i="8"/>
  <c r="N144" i="8"/>
  <c r="P101" i="8"/>
  <c r="D99" i="8"/>
  <c r="F6" i="8"/>
  <c r="G6" i="8"/>
  <c r="P145" i="8"/>
  <c r="E144" i="8"/>
  <c r="P131" i="8"/>
  <c r="P31" i="8"/>
  <c r="K39" i="8"/>
  <c r="O39" i="8"/>
  <c r="K55" i="8"/>
  <c r="O55" i="8"/>
  <c r="F69" i="8"/>
  <c r="P85" i="8"/>
  <c r="H84" i="8"/>
  <c r="L84" i="8"/>
  <c r="D144" i="8"/>
  <c r="G144" i="8"/>
  <c r="P70" i="8"/>
  <c r="P113" i="9"/>
  <c r="P120" i="9"/>
  <c r="P105" i="9"/>
  <c r="D98" i="9"/>
  <c r="P98" i="9" s="1"/>
  <c r="P91" i="9"/>
  <c r="Q91" i="9" s="1"/>
  <c r="R91" i="9" s="1"/>
  <c r="F113" i="8"/>
  <c r="D113" i="8"/>
  <c r="G128" i="8"/>
  <c r="P136" i="8"/>
  <c r="P91" i="8"/>
  <c r="Q91" i="8" s="1"/>
  <c r="R91" i="8" s="1"/>
  <c r="E55" i="8"/>
  <c r="G55" i="8"/>
  <c r="F55" i="8"/>
  <c r="P62" i="8"/>
  <c r="G39" i="8"/>
  <c r="E39" i="8"/>
  <c r="P46" i="8"/>
  <c r="G24" i="8"/>
  <c r="P152" i="8"/>
  <c r="E69" i="8"/>
  <c r="P76" i="8"/>
  <c r="P17" i="8"/>
  <c r="D6" i="8"/>
  <c r="D129" i="8"/>
  <c r="D128" i="8" s="1"/>
  <c r="P128" i="8" s="1"/>
  <c r="P115" i="8"/>
  <c r="P114" i="8"/>
  <c r="F98" i="8"/>
  <c r="P111" i="8"/>
  <c r="E98" i="8"/>
  <c r="G98" i="8"/>
  <c r="P99" i="8"/>
  <c r="P105" i="8"/>
  <c r="D69" i="8"/>
  <c r="P40" i="8"/>
  <c r="D39" i="8"/>
  <c r="P39" i="8" s="1"/>
  <c r="E25" i="8"/>
  <c r="E24" i="8" s="1"/>
  <c r="P26" i="8"/>
  <c r="D25" i="8"/>
  <c r="P120" i="8"/>
  <c r="E113" i="8"/>
  <c r="D84" i="8"/>
  <c r="P84" i="8" s="1"/>
  <c r="D98" i="8"/>
  <c r="P129" i="8" l="1"/>
  <c r="P25" i="8"/>
  <c r="P69" i="8"/>
  <c r="P55" i="8"/>
  <c r="P113" i="8"/>
  <c r="P98" i="8"/>
  <c r="D24" i="8"/>
  <c r="P24" i="8" s="1"/>
  <c r="G78" i="2" l="1"/>
  <c r="G71" i="2"/>
  <c r="G48" i="2"/>
  <c r="G41" i="2"/>
  <c r="G32" i="2"/>
  <c r="F78" i="2"/>
  <c r="E78" i="2"/>
  <c r="D78" i="2"/>
  <c r="F71" i="2"/>
  <c r="E71" i="2"/>
  <c r="D71" i="2"/>
  <c r="F48" i="2"/>
  <c r="E48" i="2"/>
  <c r="D48" i="2"/>
  <c r="F41" i="2"/>
  <c r="E41" i="2"/>
  <c r="D41" i="2"/>
  <c r="F32" i="2"/>
  <c r="E32" i="2"/>
  <c r="D32" i="2"/>
  <c r="G25" i="2"/>
  <c r="F25" i="2"/>
  <c r="E25" i="2"/>
  <c r="D25" i="2"/>
  <c r="G18" i="2"/>
  <c r="F18" i="2"/>
  <c r="E18" i="2"/>
  <c r="D18" i="2"/>
  <c r="G8" i="2"/>
  <c r="F8" i="2"/>
  <c r="E8" i="2"/>
  <c r="D8" i="2"/>
</calcChain>
</file>

<file path=xl/sharedStrings.xml><?xml version="1.0" encoding="utf-8"?>
<sst xmlns="http://schemas.openxmlformats.org/spreadsheetml/2006/main" count="892" uniqueCount="263">
  <si>
    <t>№</t>
  </si>
  <si>
    <t>рец.</t>
  </si>
  <si>
    <t>1</t>
  </si>
  <si>
    <t>ДЕНЬ 1</t>
  </si>
  <si>
    <t>ДЕНЬ 2.</t>
  </si>
  <si>
    <t>ДЕНЬ 3.</t>
  </si>
  <si>
    <t>Прием пищи,</t>
  </si>
  <si>
    <t>наименование блюда</t>
  </si>
  <si>
    <t>2</t>
  </si>
  <si>
    <t>ЭНЕРГЕТИЧЕСКАЯ И ПИЩЕВАЯ ЦЕННОСТЬ ЗАДЕНЬ</t>
  </si>
  <si>
    <t>Чай с сахаром</t>
  </si>
  <si>
    <t>Хлеб пшеничный</t>
  </si>
  <si>
    <t>Макаронные изделия отварные</t>
  </si>
  <si>
    <t>ЭНЕРГЕТИЧЕСКАЯ И ПИЩЕВАЯ ЦЕННОСТЬ ЗА ДЕНЬ</t>
  </si>
  <si>
    <t>Масса</t>
  </si>
  <si>
    <t>3</t>
  </si>
  <si>
    <t>Пищевые вещества,г.</t>
  </si>
  <si>
    <t>Б</t>
  </si>
  <si>
    <t>4</t>
  </si>
  <si>
    <t>Ж</t>
  </si>
  <si>
    <t>5</t>
  </si>
  <si>
    <t>У</t>
  </si>
  <si>
    <t>6</t>
  </si>
  <si>
    <t>Энергет. ценность (ккал)</t>
  </si>
  <si>
    <t>7</t>
  </si>
  <si>
    <t>8</t>
  </si>
  <si>
    <t>9</t>
  </si>
  <si>
    <t>ДЕНЬ 4.</t>
  </si>
  <si>
    <t>ДЕНЬ 5.</t>
  </si>
  <si>
    <t>ДЕНЬ 6.</t>
  </si>
  <si>
    <t>ДЕНЬ 8.</t>
  </si>
  <si>
    <t>ДЕНЬ 9.</t>
  </si>
  <si>
    <t>Пюре картофельное</t>
  </si>
  <si>
    <t>309/17</t>
  </si>
  <si>
    <t>312/17</t>
  </si>
  <si>
    <t>Сыр (порциями)</t>
  </si>
  <si>
    <t>Каша гречневая рассыпчатая</t>
  </si>
  <si>
    <t>Хлеб ржаной</t>
  </si>
  <si>
    <t>302/17</t>
  </si>
  <si>
    <t>223/17</t>
  </si>
  <si>
    <t>247/06</t>
  </si>
  <si>
    <t>Яблоко</t>
  </si>
  <si>
    <t>394/16</t>
  </si>
  <si>
    <t>260/17</t>
  </si>
  <si>
    <t>1,38</t>
  </si>
  <si>
    <t>0,18</t>
  </si>
  <si>
    <t>20,00</t>
  </si>
  <si>
    <t>149,37</t>
  </si>
  <si>
    <t>2,87</t>
  </si>
  <si>
    <t>40,04</t>
  </si>
  <si>
    <t>1,30</t>
  </si>
  <si>
    <t>Кофейный напиток с молоком</t>
  </si>
  <si>
    <t>Витамины жирорастворимые</t>
  </si>
  <si>
    <t>Витамины водорастворимые</t>
  </si>
  <si>
    <t>В1, мг</t>
  </si>
  <si>
    <t>С, мг</t>
  </si>
  <si>
    <t>А, мкг рет. экв</t>
  </si>
  <si>
    <t>Са, мг</t>
  </si>
  <si>
    <t>Р, мг</t>
  </si>
  <si>
    <t>Мg, мг</t>
  </si>
  <si>
    <t>Fе, мг</t>
  </si>
  <si>
    <t>порции, г</t>
  </si>
  <si>
    <t>Печенье</t>
  </si>
  <si>
    <t>ДЕНЬ 10.</t>
  </si>
  <si>
    <t>ДЕНЬ 7. ЭНЕРГЕТИЧЕСКАЯ И ПИЩЕВАЯ ЦЕННОСТЬ ЗА ДЕНЬ</t>
  </si>
  <si>
    <t>Гуляш из птицы (грудка)</t>
  </si>
  <si>
    <t>ЗАВТРАК</t>
  </si>
  <si>
    <t>ОБЕД</t>
  </si>
  <si>
    <t>52/17</t>
  </si>
  <si>
    <t>Салат из свеклы</t>
  </si>
  <si>
    <t>0,11</t>
  </si>
  <si>
    <t>16,79</t>
  </si>
  <si>
    <t>25,90</t>
  </si>
  <si>
    <t>68,13</t>
  </si>
  <si>
    <t>23,75</t>
  </si>
  <si>
    <t>Минеральные вещества (мг)</t>
  </si>
  <si>
    <t>0,10</t>
  </si>
  <si>
    <t>21,34</t>
  </si>
  <si>
    <t>30,80</t>
  </si>
  <si>
    <t>51,54</t>
  </si>
  <si>
    <t>21,58</t>
  </si>
  <si>
    <t>0,80</t>
  </si>
  <si>
    <t>75/17</t>
  </si>
  <si>
    <t>Икра морковная</t>
  </si>
  <si>
    <t>0,05</t>
  </si>
  <si>
    <t>1,50</t>
  </si>
  <si>
    <t>13,87</t>
  </si>
  <si>
    <t>27,46</t>
  </si>
  <si>
    <t>8,19</t>
  </si>
  <si>
    <t>0,51</t>
  </si>
  <si>
    <t>Напиток апельсиновый</t>
  </si>
  <si>
    <t>0,01</t>
  </si>
  <si>
    <t>9,00</t>
  </si>
  <si>
    <t>5,82</t>
  </si>
  <si>
    <t>0,12</t>
  </si>
  <si>
    <t>0,08</t>
  </si>
  <si>
    <t>30,30</t>
  </si>
  <si>
    <t>41,80</t>
  </si>
  <si>
    <t>44,28</t>
  </si>
  <si>
    <t>20,10</t>
  </si>
  <si>
    <t>0,76</t>
  </si>
  <si>
    <t>102/17</t>
  </si>
  <si>
    <t>11,50</t>
  </si>
  <si>
    <t>40,80</t>
  </si>
  <si>
    <t>40,38</t>
  </si>
  <si>
    <t>16,70</t>
  </si>
  <si>
    <t>1,78</t>
  </si>
  <si>
    <t>16,50</t>
  </si>
  <si>
    <t>22,75</t>
  </si>
  <si>
    <t>97,35</t>
  </si>
  <si>
    <t>31,20</t>
  </si>
  <si>
    <t>1,02</t>
  </si>
  <si>
    <t>0,40</t>
  </si>
  <si>
    <t>7,54</t>
  </si>
  <si>
    <t>6,72</t>
  </si>
  <si>
    <t>1,36</t>
  </si>
  <si>
    <t>1,28</t>
  </si>
  <si>
    <t>82/17</t>
  </si>
  <si>
    <t>0,07</t>
  </si>
  <si>
    <t>19,32</t>
  </si>
  <si>
    <t>42,23</t>
  </si>
  <si>
    <t>31,76</t>
  </si>
  <si>
    <t>13,48</t>
  </si>
  <si>
    <t>1,14</t>
  </si>
  <si>
    <t>103/17</t>
  </si>
  <si>
    <t>0,13</t>
  </si>
  <si>
    <t>15,20</t>
  </si>
  <si>
    <t>63,45</t>
  </si>
  <si>
    <t>24,05</t>
  </si>
  <si>
    <t>0,83</t>
  </si>
  <si>
    <t>98/17</t>
  </si>
  <si>
    <t>295/17</t>
  </si>
  <si>
    <t>143/17</t>
  </si>
  <si>
    <t>Рагу из овощей</t>
  </si>
  <si>
    <t>54/21</t>
  </si>
  <si>
    <t>Масло сливочное (порциями)</t>
  </si>
  <si>
    <t>Салат из белокочанной капусты</t>
  </si>
  <si>
    <t>Плов из филе птицы</t>
  </si>
  <si>
    <t>Голубцы ленивые</t>
  </si>
  <si>
    <t>54-283/23</t>
  </si>
  <si>
    <t>Свекла отварная дольками</t>
  </si>
  <si>
    <t>Котлеты из мяса птицы</t>
  </si>
  <si>
    <t>Салат из моркови с сахаром</t>
  </si>
  <si>
    <t>Азу из мяса птицы по домашнему</t>
  </si>
  <si>
    <t xml:space="preserve">"Чикенболлы" в соусе </t>
  </si>
  <si>
    <t>Винегрет овощной</t>
  </si>
  <si>
    <t>182/15</t>
  </si>
  <si>
    <t>Ежики в соусе</t>
  </si>
  <si>
    <t>Гороховое пюре</t>
  </si>
  <si>
    <t>Бигус с птицей</t>
  </si>
  <si>
    <t>Рис отварной</t>
  </si>
  <si>
    <t>Напиток каркаде с сахаром</t>
  </si>
  <si>
    <t>303/14</t>
  </si>
  <si>
    <t>Каша перловая вязкая</t>
  </si>
  <si>
    <t>Яйцо вареное</t>
  </si>
  <si>
    <t>Запеканка из творога с джемом</t>
  </si>
  <si>
    <t>Рыба, запеченная в омлете</t>
  </si>
  <si>
    <t>Соус томатный</t>
  </si>
  <si>
    <t xml:space="preserve">Суп картофельный с рисовой крупой </t>
  </si>
  <si>
    <t xml:space="preserve">Суп картофельный с макаронными изделиями </t>
  </si>
  <si>
    <t>14/17</t>
  </si>
  <si>
    <t>182/17</t>
  </si>
  <si>
    <t>15/17</t>
  </si>
  <si>
    <t>411/16</t>
  </si>
  <si>
    <t>414/16</t>
  </si>
  <si>
    <t>113/17</t>
  </si>
  <si>
    <t>101/17</t>
  </si>
  <si>
    <t>99/17</t>
  </si>
  <si>
    <t>35/06</t>
  </si>
  <si>
    <t>291/17</t>
  </si>
  <si>
    <t>304/17</t>
  </si>
  <si>
    <t>71/04</t>
  </si>
  <si>
    <t>238/06</t>
  </si>
  <si>
    <t>45/17</t>
  </si>
  <si>
    <t>62/17</t>
  </si>
  <si>
    <t>346/17</t>
  </si>
  <si>
    <t>Завтрак и обед</t>
  </si>
  <si>
    <t>Сдоба обыкновенная</t>
  </si>
  <si>
    <t>Макароны запеченные с сыром</t>
  </si>
  <si>
    <t>766/04</t>
  </si>
  <si>
    <t>334/04</t>
  </si>
  <si>
    <t>Тефтели "Крепыш" в соусе</t>
  </si>
  <si>
    <t>Каша молочная 5 злаков (жидкая) с маслом сливочным</t>
  </si>
  <si>
    <t>Каша молочная геркулесовая (жидкая) с маслом сливочным</t>
  </si>
  <si>
    <t>Каша молочная манная (жидкая) с маслом сливочным</t>
  </si>
  <si>
    <t>Каша молочная ячневая (жидкая) с маслом сливочным</t>
  </si>
  <si>
    <t>Каша молочная пшенная (жидкая) с маслом сливочным</t>
  </si>
  <si>
    <t>Каша молочная "Дружба" (жидкая) с маслом сливочным</t>
  </si>
  <si>
    <t xml:space="preserve">Суп - лапша домашняя </t>
  </si>
  <si>
    <t xml:space="preserve">Борщ с капустой и картофелем </t>
  </si>
  <si>
    <t xml:space="preserve">Суп из овощей </t>
  </si>
  <si>
    <t xml:space="preserve">Свекольник </t>
  </si>
  <si>
    <t xml:space="preserve">Суп крестьянский с крупой </t>
  </si>
  <si>
    <t>Суп картофельный с бобовыми</t>
  </si>
  <si>
    <t>меню на 139-29 руб (с 5 по 11 классы)</t>
  </si>
  <si>
    <t>меню на 127-49  руб (с 1 по 4 классы)</t>
  </si>
  <si>
    <t>12-18 лет коррекционные школы</t>
  </si>
  <si>
    <t>7-11 лет коррекционные школы</t>
  </si>
  <si>
    <t>Борщ с капустой и картофелем</t>
  </si>
  <si>
    <t>Суп - лапша домашняя</t>
  </si>
  <si>
    <t>Суп крестьянский с крупой</t>
  </si>
  <si>
    <t>Компот из смеси сухофруктов</t>
  </si>
  <si>
    <t>Компот из плодов или ягод сушенных (изюм)</t>
  </si>
  <si>
    <t>Кисель из концентрата плодового или ягодного</t>
  </si>
  <si>
    <t>№ рец.</t>
  </si>
  <si>
    <t>Прием пищи, наименование блюда</t>
  </si>
  <si>
    <t>Масса порции, г.</t>
  </si>
  <si>
    <t>Пищевые вещества, г.</t>
  </si>
  <si>
    <t>ДЕНЬ 1. ЭНЕРГЕТИЧЕСКАЯ И ПИЩЕВАЯ ЦЕННОСТЬ ЗА ДЕНЬ</t>
  </si>
  <si>
    <t>ДЕНЬ 2. ЭНЕРГЕТИЧЕСКАЯ И ПИЩЕВАЯ ЦЕННОСТЬ ЗА ДЕНЬ</t>
  </si>
  <si>
    <t>ДЕНЬ 3. ЭНЕРГЕТИЧЕСКАЯ И ПИЩЕВАЯ ЦЕННОСТЬ ЗА ДЕНЬ</t>
  </si>
  <si>
    <t>ДЕНЬ 4. ЭНЕРГЕТИЧЕСКАЯ И ПИЩЕВАЯ ЦЕННОСТЬ ЗА ДЕНЬ</t>
  </si>
  <si>
    <t>ДЕНЬ 5. ЭНЕРГЕТИЧЕСКАЯ И ПИЩЕВАЯ ЦЕННОСТЬ ЗА ДЕНЬ</t>
  </si>
  <si>
    <t>ДЕНЬ 6. ЭНЕРГЕТИЧЕСКАЯ И ПИЩЕВАЯ ЦЕННОСТЬ ЗА ДЕНЬ</t>
  </si>
  <si>
    <t>ДЕНЬ 8. ЭНЕРГЕТИЧЕСКАЯ И ПИЩЕВАЯ ЦЕННОСТЬ ЗА ДЕНЬ</t>
  </si>
  <si>
    <t>ДЕНЬ 9. ЭНЕРГЕТИЧЕСКАЯ И ПИЩЕВАЯ ЦЕННОСТЬ ЗА ДЕНЬ</t>
  </si>
  <si>
    <t>ДЕНЬ 10. ЭНЕРГЕТИЧЕСКАЯ И ПИЩЕВАЯ ЦЕННОСТЬ ЗА ДЕНЬ</t>
  </si>
  <si>
    <t>Итого:</t>
  </si>
  <si>
    <t xml:space="preserve">Категории: 
- Обучающиеся по образовательным программам начального общего образования, не отнесённые к отдельным категориям.
</t>
  </si>
  <si>
    <t xml:space="preserve"> </t>
  </si>
  <si>
    <t>259/17</t>
  </si>
  <si>
    <t>Жаркое по-домашнему</t>
  </si>
  <si>
    <t>Каша гречневая вязкая</t>
  </si>
  <si>
    <t>303/17</t>
  </si>
  <si>
    <t>348/17</t>
  </si>
  <si>
    <t>210/17</t>
  </si>
  <si>
    <t>Омлет натуральный с маслом</t>
  </si>
  <si>
    <t>70/17</t>
  </si>
  <si>
    <t>Овощи солёные порционные (огурцы)</t>
  </si>
  <si>
    <t>Компот из кураги, витамин С</t>
  </si>
  <si>
    <t>200</t>
  </si>
  <si>
    <t>50/150</t>
  </si>
  <si>
    <t>195/5</t>
  </si>
  <si>
    <t>Паста "Болоньезе"</t>
  </si>
  <si>
    <t>Батон нарезной</t>
  </si>
  <si>
    <t>160/5</t>
  </si>
  <si>
    <t>150/10</t>
  </si>
  <si>
    <t>Макароны отварные с сыром</t>
  </si>
  <si>
    <t>200/10</t>
  </si>
  <si>
    <t>204/17</t>
  </si>
  <si>
    <t>200/15</t>
  </si>
  <si>
    <t>Кондитерское изделие (вафли)</t>
  </si>
  <si>
    <t xml:space="preserve">Фрукт </t>
  </si>
  <si>
    <t xml:space="preserve">ЗАВТРАК </t>
  </si>
  <si>
    <t>Компот из смеси сухофруктов, витамин С</t>
  </si>
  <si>
    <t>Кондитерское изделие (печенье)</t>
  </si>
  <si>
    <t>Кондитерское изделие (пряники)</t>
  </si>
  <si>
    <t>Запеканка из творога "Радуга" с молоком сгущённым</t>
  </si>
  <si>
    <t>ТТК 116</t>
  </si>
  <si>
    <t>Котлета рыбная</t>
  </si>
  <si>
    <t>ТТК 301</t>
  </si>
  <si>
    <t>Плов из мяса птицы</t>
  </si>
  <si>
    <t>234/17</t>
  </si>
  <si>
    <t>242/05</t>
  </si>
  <si>
    <t>250/15</t>
  </si>
  <si>
    <t>250</t>
  </si>
  <si>
    <t>50/200</t>
  </si>
  <si>
    <t>250/10</t>
  </si>
  <si>
    <t>Категории:
- Дети из малообеспеченных семей; 
- Дети с нарушениями здоровья, имеющие заболевания, относящиеся к нарушениям состояния здоровья: заболевания, связанные с недостаточностью питания, не связанные с тяжелой патологией и не требующие специальной диеты (белково-энергетическая недостаточность умеренной и легкой степени (код по международной статистической классификации болезней и проблем, связанных со здоровьем, МКБ 10 IV Е 44)), и задержку развития, обусловленную белково-энергетической недостаточностью (код по международной статистической классификации болезней и проблем, связанных со здоровьем, МКБ 10 IV Е 45);
- Дети из семей, находящихся в социально опасном положении, находящихся в трудной жизненной ситуации;
- Дети из многодетных семей;
- Дети из семей участников боевых действий.</t>
  </si>
  <si>
    <t>Напиток яблочно-лимонный, витамин С</t>
  </si>
  <si>
    <t>1 шт/130</t>
  </si>
  <si>
    <t xml:space="preserve">Меню для учащихся, получающих бюджетные средства на питание в размере      85,15 руб. </t>
  </si>
  <si>
    <t xml:space="preserve">Меню для учащихся, получающих бюджетные средства на питание в размере     85,15 руб.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</si>
</sst>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10"/>
      <name val="Arial"/>
      <family val="2"/>
      <charset val="204"/>
    </font>
    <font>
      <i/>
      <sz val="9"/>
      <name val="Arial"/>
      <family val="2"/>
      <charset val="204"/>
    </font>
    <font>
      <b/>
      <sz val="9.5"/>
      <name val="Arial"/>
      <family val="2"/>
      <charset val="204"/>
    </font>
    <font>
      <sz val="9"/>
      <name val="Arial"/>
      <family val="2"/>
      <charset val="204"/>
    </font>
    <font>
      <sz val="9.5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8.5"/>
      <name val="Arial"/>
      <family val="2"/>
      <charset val="204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275">
    <xf numFmtId="0" fontId="1" fillId="0" borderId="0" xfId="0" applyNumberFormat="1" applyFont="1" applyFill="1" applyBorder="1" applyAlignment="1" applyProtection="1">
      <alignment vertical="top"/>
    </xf>
    <xf numFmtId="0" fontId="1" fillId="2" borderId="0" xfId="0" applyNumberFormat="1" applyFont="1" applyFill="1" applyBorder="1" applyAlignment="1" applyProtection="1">
      <alignment horizontal="right" vertical="top"/>
    </xf>
    <xf numFmtId="0" fontId="1" fillId="2" borderId="0" xfId="0" applyNumberFormat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horizontal="right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left" vertical="center" indent="1"/>
    </xf>
    <xf numFmtId="0" fontId="2" fillId="2" borderId="2" xfId="0" applyNumberFormat="1" applyFont="1" applyFill="1" applyBorder="1" applyAlignment="1" applyProtection="1">
      <alignment horizontal="right" vertical="top"/>
    </xf>
    <xf numFmtId="0" fontId="2" fillId="2" borderId="2" xfId="0" applyNumberFormat="1" applyFont="1" applyFill="1" applyBorder="1" applyAlignment="1" applyProtection="1">
      <alignment horizontal="left" vertical="top" indent="6"/>
    </xf>
    <xf numFmtId="0" fontId="2" fillId="2" borderId="2" xfId="0" applyNumberFormat="1" applyFont="1" applyFill="1" applyBorder="1" applyAlignment="1" applyProtection="1">
      <alignment horizontal="center" vertical="top"/>
    </xf>
    <xf numFmtId="0" fontId="2" fillId="2" borderId="3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/>
    </xf>
    <xf numFmtId="0" fontId="12" fillId="2" borderId="3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 wrapText="1"/>
    </xf>
    <xf numFmtId="0" fontId="3" fillId="2" borderId="3" xfId="0" applyNumberFormat="1" applyFont="1" applyFill="1" applyBorder="1" applyAlignment="1" applyProtection="1">
      <alignment horizontal="right"/>
    </xf>
    <xf numFmtId="0" fontId="2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center"/>
    </xf>
    <xf numFmtId="0" fontId="12" fillId="2" borderId="3" xfId="0" applyNumberFormat="1" applyFont="1" applyFill="1" applyBorder="1" applyAlignment="1" applyProtection="1">
      <alignment horizontal="center"/>
    </xf>
    <xf numFmtId="0" fontId="9" fillId="2" borderId="4" xfId="0" applyNumberFormat="1" applyFont="1" applyFill="1" applyBorder="1" applyAlignment="1" applyProtection="1">
      <alignment horizontal="right" vertical="center" indent="1"/>
    </xf>
    <xf numFmtId="2" fontId="3" fillId="2" borderId="3" xfId="0" applyNumberFormat="1" applyFont="1" applyFill="1" applyBorder="1" applyAlignment="1" applyProtection="1">
      <alignment horizontal="center" vertical="center"/>
    </xf>
    <xf numFmtId="2" fontId="3" fillId="2" borderId="3" xfId="0" applyNumberFormat="1" applyFont="1" applyFill="1" applyBorder="1" applyAlignment="1" applyProtection="1">
      <alignment horizontal="right" vertical="center"/>
    </xf>
    <xf numFmtId="0" fontId="9" fillId="2" borderId="3" xfId="0" applyNumberFormat="1" applyFont="1" applyFill="1" applyBorder="1" applyAlignment="1" applyProtection="1">
      <alignment horizontal="right" vertical="center" indent="1"/>
    </xf>
    <xf numFmtId="0" fontId="1" fillId="2" borderId="3" xfId="0" applyNumberFormat="1" applyFont="1" applyFill="1" applyBorder="1" applyAlignment="1" applyProtection="1">
      <alignment horizontal="right" vertical="top" indent="1"/>
    </xf>
    <xf numFmtId="0" fontId="6" fillId="2" borderId="3" xfId="0" applyNumberFormat="1" applyFont="1" applyFill="1" applyBorder="1" applyAlignment="1" applyProtection="1">
      <alignment horizontal="left" vertical="center"/>
    </xf>
    <xf numFmtId="0" fontId="6" fillId="2" borderId="3" xfId="0" applyNumberFormat="1" applyFont="1" applyFill="1" applyBorder="1" applyAlignment="1" applyProtection="1">
      <alignment horizontal="center" vertical="center"/>
    </xf>
    <xf numFmtId="2" fontId="5" fillId="2" borderId="3" xfId="0" applyNumberFormat="1" applyFont="1" applyFill="1" applyBorder="1" applyAlignment="1" applyProtection="1">
      <alignment horizontal="center" vertical="center"/>
    </xf>
    <xf numFmtId="2" fontId="3" fillId="2" borderId="0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left" vertical="center"/>
    </xf>
    <xf numFmtId="0" fontId="1" fillId="2" borderId="3" xfId="0" applyNumberFormat="1" applyFont="1" applyFill="1" applyBorder="1" applyAlignment="1" applyProtection="1">
      <alignment horizontal="right" vertical="top"/>
    </xf>
    <xf numFmtId="0" fontId="4" fillId="2" borderId="3" xfId="0" applyNumberFormat="1" applyFont="1" applyFill="1" applyBorder="1" applyAlignment="1" applyProtection="1">
      <alignment horizontal="left" wrapText="1"/>
    </xf>
    <xf numFmtId="2" fontId="4" fillId="2" borderId="3" xfId="0" applyNumberFormat="1" applyFont="1" applyFill="1" applyBorder="1" applyAlignment="1" applyProtection="1">
      <alignment horizontal="center"/>
    </xf>
    <xf numFmtId="2" fontId="12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left"/>
    </xf>
    <xf numFmtId="0" fontId="7" fillId="2" borderId="3" xfId="0" applyNumberFormat="1" applyFont="1" applyFill="1" applyBorder="1" applyAlignment="1" applyProtection="1">
      <alignment horizontal="right" vertical="top" indent="1"/>
    </xf>
    <xf numFmtId="0" fontId="12" fillId="2" borderId="3" xfId="0" applyNumberFormat="1" applyFont="1" applyFill="1" applyBorder="1" applyAlignment="1" applyProtection="1">
      <alignment horizontal="center" vertical="center"/>
    </xf>
    <xf numFmtId="49" fontId="1" fillId="2" borderId="3" xfId="0" applyNumberFormat="1" applyFont="1" applyFill="1" applyBorder="1" applyAlignment="1" applyProtection="1">
      <alignment horizontal="right" vertical="top" indent="1"/>
    </xf>
    <xf numFmtId="49" fontId="4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center" vertical="center"/>
    </xf>
    <xf numFmtId="0" fontId="0" fillId="2" borderId="3" xfId="0" applyFill="1" applyBorder="1" applyAlignment="1">
      <alignment horizontal="right" vertical="top"/>
    </xf>
    <xf numFmtId="0" fontId="4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 vertical="top"/>
    </xf>
    <xf numFmtId="0" fontId="10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right" vertical="top"/>
    </xf>
    <xf numFmtId="0" fontId="10" fillId="2" borderId="5" xfId="0" applyFont="1" applyFill="1" applyBorder="1" applyAlignment="1">
      <alignment horizontal="center"/>
    </xf>
    <xf numFmtId="2" fontId="10" fillId="2" borderId="3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left" vertical="center" wrapText="1"/>
    </xf>
    <xf numFmtId="0" fontId="4" fillId="2" borderId="5" xfId="0" applyNumberFormat="1" applyFont="1" applyFill="1" applyBorder="1" applyAlignment="1" applyProtection="1">
      <alignment horizontal="center" vertical="center"/>
    </xf>
    <xf numFmtId="2" fontId="4" fillId="2" borderId="0" xfId="0" applyNumberFormat="1" applyFont="1" applyFill="1" applyBorder="1" applyAlignment="1" applyProtection="1">
      <alignment horizontal="right"/>
    </xf>
    <xf numFmtId="2" fontId="1" fillId="2" borderId="3" xfId="0" applyNumberFormat="1" applyFont="1" applyFill="1" applyBorder="1" applyAlignment="1" applyProtection="1">
      <alignment horizontal="center" vertical="top"/>
    </xf>
    <xf numFmtId="0" fontId="1" fillId="2" borderId="3" xfId="0" applyNumberFormat="1" applyFont="1" applyFill="1" applyBorder="1" applyAlignment="1" applyProtection="1">
      <alignment horizontal="center" vertical="top"/>
    </xf>
    <xf numFmtId="2" fontId="5" fillId="2" borderId="0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right" vertical="center" indent="1"/>
    </xf>
    <xf numFmtId="2" fontId="4" fillId="2" borderId="3" xfId="0" applyNumberFormat="1" applyFont="1" applyFill="1" applyBorder="1" applyAlignment="1" applyProtection="1">
      <alignment horizontal="center" vertical="center"/>
    </xf>
    <xf numFmtId="2" fontId="12" fillId="2" borderId="3" xfId="0" applyNumberFormat="1" applyFont="1" applyFill="1" applyBorder="1" applyAlignment="1" applyProtection="1">
      <alignment horizontal="center" vertical="center"/>
    </xf>
    <xf numFmtId="2" fontId="12" fillId="2" borderId="3" xfId="0" applyNumberFormat="1" applyFont="1" applyFill="1" applyBorder="1" applyAlignment="1" applyProtection="1">
      <alignment horizontal="center" vertical="top"/>
    </xf>
    <xf numFmtId="0" fontId="8" fillId="2" borderId="3" xfId="0" applyNumberFormat="1" applyFont="1" applyFill="1" applyBorder="1" applyAlignment="1" applyProtection="1">
      <alignment horizontal="center" wrapText="1"/>
    </xf>
    <xf numFmtId="0" fontId="1" fillId="2" borderId="4" xfId="0" applyNumberFormat="1" applyFont="1" applyFill="1" applyBorder="1" applyAlignment="1" applyProtection="1">
      <alignment horizontal="right" vertical="top"/>
    </xf>
    <xf numFmtId="0" fontId="8" fillId="2" borderId="5" xfId="0" applyNumberFormat="1" applyFont="1" applyFill="1" applyBorder="1" applyAlignment="1" applyProtection="1">
      <alignment horizontal="center" wrapText="1"/>
    </xf>
    <xf numFmtId="2" fontId="8" fillId="2" borderId="3" xfId="0" applyNumberFormat="1" applyFont="1" applyFill="1" applyBorder="1" applyAlignment="1" applyProtection="1">
      <alignment horizontal="center" vertical="center"/>
    </xf>
    <xf numFmtId="2" fontId="8" fillId="2" borderId="3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3" xfId="0" applyNumberFormat="1" applyFont="1" applyFill="1" applyBorder="1" applyAlignment="1" applyProtection="1">
      <alignment horizontal="left" vertical="top"/>
    </xf>
    <xf numFmtId="0" fontId="4" fillId="2" borderId="3" xfId="0" applyNumberFormat="1" applyFont="1" applyFill="1" applyBorder="1" applyAlignment="1" applyProtection="1">
      <alignment horizontal="right" vertical="center"/>
    </xf>
    <xf numFmtId="0" fontId="4" fillId="2" borderId="5" xfId="0" applyNumberFormat="1" applyFont="1" applyFill="1" applyBorder="1" applyAlignment="1" applyProtection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center"/>
    </xf>
    <xf numFmtId="0" fontId="4" fillId="2" borderId="4" xfId="0" applyNumberFormat="1" applyFont="1" applyFill="1" applyBorder="1" applyAlignment="1" applyProtection="1">
      <alignment horizontal="left" vertical="center"/>
    </xf>
    <xf numFmtId="0" fontId="8" fillId="2" borderId="5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wrapText="1"/>
    </xf>
    <xf numFmtId="2" fontId="4" fillId="2" borderId="3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top" wrapText="1"/>
    </xf>
    <xf numFmtId="0" fontId="4" fillId="2" borderId="3" xfId="0" applyNumberFormat="1" applyFont="1" applyFill="1" applyBorder="1" applyAlignment="1" applyProtection="1">
      <alignment horizontal="left" vertical="top" wrapText="1"/>
    </xf>
    <xf numFmtId="0" fontId="8" fillId="2" borderId="3" xfId="0" applyNumberFormat="1" applyFont="1" applyFill="1" applyBorder="1" applyAlignment="1" applyProtection="1">
      <alignment horizontal="center" vertical="center"/>
    </xf>
    <xf numFmtId="0" fontId="0" fillId="2" borderId="3" xfId="0" applyFill="1" applyBorder="1" applyAlignment="1">
      <alignment horizontal="right" vertical="center"/>
    </xf>
    <xf numFmtId="2" fontId="1" fillId="2" borderId="3" xfId="0" applyNumberFormat="1" applyFont="1" applyFill="1" applyBorder="1" applyAlignment="1" applyProtection="1">
      <alignment horizontal="center" vertical="center"/>
    </xf>
    <xf numFmtId="0" fontId="4" fillId="2" borderId="5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right" vertical="center"/>
    </xf>
    <xf numFmtId="0" fontId="9" fillId="2" borderId="1" xfId="0" applyNumberFormat="1" applyFont="1" applyFill="1" applyBorder="1" applyAlignment="1" applyProtection="1">
      <alignment horizontal="right" vertical="center"/>
    </xf>
    <xf numFmtId="0" fontId="9" fillId="2" borderId="9" xfId="0" applyNumberFormat="1" applyFont="1" applyFill="1" applyBorder="1" applyAlignment="1" applyProtection="1">
      <alignment horizontal="left" vertical="center"/>
    </xf>
    <xf numFmtId="2" fontId="8" fillId="2" borderId="1" xfId="0" applyNumberFormat="1" applyFont="1" applyFill="1" applyBorder="1" applyAlignment="1" applyProtection="1">
      <alignment horizontal="center" vertical="center"/>
    </xf>
    <xf numFmtId="2" fontId="8" fillId="2" borderId="1" xfId="0" applyNumberFormat="1" applyFont="1" applyFill="1" applyBorder="1" applyAlignment="1" applyProtection="1">
      <alignment horizontal="right" vertical="center"/>
    </xf>
    <xf numFmtId="2" fontId="1" fillId="2" borderId="0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right" vertical="top"/>
    </xf>
    <xf numFmtId="0" fontId="5" fillId="2" borderId="1" xfId="0" applyNumberFormat="1" applyFont="1" applyFill="1" applyBorder="1" applyAlignment="1" applyProtection="1">
      <alignment horizontal="lef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/>
    </xf>
    <xf numFmtId="2" fontId="12" fillId="2" borderId="1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/>
    </xf>
    <xf numFmtId="2" fontId="4" fillId="2" borderId="0" xfId="0" applyNumberFormat="1" applyFont="1" applyFill="1" applyBorder="1" applyAlignment="1" applyProtection="1">
      <alignment horizontal="center"/>
    </xf>
    <xf numFmtId="2" fontId="1" fillId="2" borderId="0" xfId="0" applyNumberFormat="1" applyFont="1" applyFill="1" applyBorder="1" applyAlignment="1" applyProtection="1">
      <alignment horizontal="center" vertical="top"/>
    </xf>
    <xf numFmtId="0" fontId="4" fillId="2" borderId="0" xfId="0" applyNumberFormat="1" applyFont="1" applyFill="1" applyBorder="1" applyAlignment="1" applyProtection="1">
      <alignment horizontal="right" wrapText="1"/>
    </xf>
    <xf numFmtId="2" fontId="10" fillId="2" borderId="3" xfId="0" applyNumberFormat="1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right" vertical="center"/>
    </xf>
    <xf numFmtId="0" fontId="4" fillId="2" borderId="0" xfId="0" applyNumberFormat="1" applyFont="1" applyFill="1" applyBorder="1" applyAlignment="1" applyProtection="1">
      <alignment horizontal="left" vertical="center" wrapText="1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0" fillId="2" borderId="0" xfId="0" applyFill="1" applyBorder="1" applyAlignment="1">
      <alignment horizontal="right" vertical="top"/>
    </xf>
    <xf numFmtId="0" fontId="4" fillId="2" borderId="0" xfId="0" applyNumberFormat="1" applyFont="1" applyFill="1" applyBorder="1" applyAlignment="1" applyProtection="1">
      <alignment horizontal="left" vertical="top" wrapText="1"/>
    </xf>
    <xf numFmtId="0" fontId="4" fillId="2" borderId="0" xfId="0" applyNumberFormat="1" applyFont="1" applyFill="1" applyBorder="1" applyAlignment="1" applyProtection="1">
      <alignment horizontal="center" vertical="top"/>
    </xf>
    <xf numFmtId="2" fontId="4" fillId="2" borderId="0" xfId="0" applyNumberFormat="1" applyFont="1" applyFill="1" applyBorder="1" applyAlignment="1" applyProtection="1">
      <alignment horizontal="center" vertical="top"/>
    </xf>
    <xf numFmtId="0" fontId="0" fillId="2" borderId="0" xfId="0" applyFill="1" applyBorder="1" applyAlignment="1">
      <alignment horizontal="right"/>
    </xf>
    <xf numFmtId="0" fontId="4" fillId="2" borderId="0" xfId="0" applyNumberFormat="1" applyFont="1" applyFill="1" applyBorder="1" applyAlignment="1" applyProtection="1">
      <alignment horizontal="left" vertical="center"/>
    </xf>
    <xf numFmtId="0" fontId="9" fillId="2" borderId="8" xfId="0" applyNumberFormat="1" applyFont="1" applyFill="1" applyBorder="1" applyAlignment="1" applyProtection="1">
      <alignment horizontal="right" vertical="center"/>
    </xf>
    <xf numFmtId="0" fontId="8" fillId="2" borderId="3" xfId="0" applyNumberFormat="1" applyFont="1" applyFill="1" applyBorder="1" applyAlignment="1" applyProtection="1">
      <alignment horizontal="right" vertical="center"/>
    </xf>
    <xf numFmtId="0" fontId="12" fillId="2" borderId="0" xfId="0" applyNumberFormat="1" applyFont="1" applyFill="1" applyBorder="1" applyAlignment="1" applyProtection="1">
      <alignment horizontal="center" vertical="top"/>
    </xf>
    <xf numFmtId="0" fontId="12" fillId="2" borderId="0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Border="1" applyAlignment="1" applyProtection="1">
      <alignment horizontal="center"/>
    </xf>
    <xf numFmtId="0" fontId="1" fillId="2" borderId="10" xfId="0" applyNumberFormat="1" applyFont="1" applyFill="1" applyBorder="1" applyAlignment="1" applyProtection="1">
      <alignment vertical="top"/>
    </xf>
    <xf numFmtId="49" fontId="1" fillId="2" borderId="4" xfId="0" applyNumberFormat="1" applyFont="1" applyFill="1" applyBorder="1" applyAlignment="1" applyProtection="1">
      <alignment horizontal="right" vertical="top" indent="1"/>
    </xf>
    <xf numFmtId="0" fontId="4" fillId="2" borderId="6" xfId="0" applyNumberFormat="1" applyFont="1" applyFill="1" applyBorder="1" applyAlignment="1" applyProtection="1">
      <alignment horizontal="left" vertical="center"/>
    </xf>
    <xf numFmtId="49" fontId="8" fillId="2" borderId="3" xfId="0" applyNumberFormat="1" applyFont="1" applyFill="1" applyBorder="1" applyAlignment="1" applyProtection="1">
      <alignment horizontal="center"/>
    </xf>
    <xf numFmtId="49" fontId="8" fillId="2" borderId="0" xfId="0" applyNumberFormat="1" applyFont="1" applyFill="1" applyBorder="1" applyAlignment="1" applyProtection="1">
      <alignment horizontal="center"/>
    </xf>
    <xf numFmtId="0" fontId="9" fillId="2" borderId="4" xfId="0" applyNumberFormat="1" applyFont="1" applyFill="1" applyBorder="1" applyAlignment="1" applyProtection="1">
      <alignment horizontal="right" vertical="center"/>
    </xf>
    <xf numFmtId="0" fontId="4" fillId="2" borderId="3" xfId="1" applyNumberFormat="1" applyFont="1" applyFill="1" applyBorder="1" applyAlignment="1" applyProtection="1">
      <alignment horizontal="left" vertical="top" wrapText="1"/>
    </xf>
    <xf numFmtId="0" fontId="4" fillId="2" borderId="3" xfId="1" applyNumberFormat="1" applyFont="1" applyFill="1" applyBorder="1" applyAlignment="1" applyProtection="1">
      <alignment horizontal="center" vertical="center"/>
    </xf>
    <xf numFmtId="0" fontId="4" fillId="2" borderId="4" xfId="0" applyNumberFormat="1" applyFont="1" applyFill="1" applyBorder="1" applyAlignment="1" applyProtection="1">
      <alignment horizontal="left" vertical="center" wrapText="1"/>
    </xf>
    <xf numFmtId="0" fontId="1" fillId="2" borderId="4" xfId="0" applyNumberFormat="1" applyFont="1" applyFill="1" applyBorder="1" applyAlignment="1" applyProtection="1">
      <alignment horizontal="right" vertical="top" indent="1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right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top"/>
    </xf>
    <xf numFmtId="0" fontId="6" fillId="2" borderId="0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top"/>
    </xf>
    <xf numFmtId="0" fontId="1" fillId="2" borderId="3" xfId="0" applyNumberFormat="1" applyFont="1" applyFill="1" applyBorder="1" applyAlignment="1" applyProtection="1">
      <alignment vertical="top"/>
    </xf>
    <xf numFmtId="0" fontId="10" fillId="2" borderId="3" xfId="0" applyNumberFormat="1" applyFont="1" applyFill="1" applyBorder="1" applyAlignment="1" applyProtection="1">
      <alignment horizontal="center" vertical="top"/>
    </xf>
    <xf numFmtId="0" fontId="12" fillId="2" borderId="1" xfId="0" applyNumberFormat="1" applyFont="1" applyFill="1" applyBorder="1" applyAlignment="1" applyProtection="1">
      <alignment horizontal="center" vertical="top"/>
    </xf>
    <xf numFmtId="1" fontId="8" fillId="2" borderId="3" xfId="0" applyNumberFormat="1" applyFont="1" applyFill="1" applyBorder="1" applyAlignment="1" applyProtection="1">
      <alignment horizontal="center"/>
    </xf>
    <xf numFmtId="1" fontId="4" fillId="2" borderId="3" xfId="0" applyNumberFormat="1" applyFont="1" applyFill="1" applyBorder="1" applyAlignment="1" applyProtection="1">
      <alignment horizontal="center"/>
    </xf>
    <xf numFmtId="1" fontId="4" fillId="2" borderId="3" xfId="0" applyNumberFormat="1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>
      <alignment horizontal="center" vertical="top"/>
    </xf>
    <xf numFmtId="1" fontId="1" fillId="2" borderId="3" xfId="0" applyNumberFormat="1" applyFont="1" applyFill="1" applyBorder="1" applyAlignment="1">
      <alignment horizontal="center"/>
    </xf>
    <xf numFmtId="1" fontId="10" fillId="2" borderId="3" xfId="0" applyNumberFormat="1" applyFont="1" applyFill="1" applyBorder="1" applyAlignment="1">
      <alignment horizontal="center"/>
    </xf>
    <xf numFmtId="0" fontId="4" fillId="2" borderId="4" xfId="0" applyNumberFormat="1" applyFont="1" applyFill="1" applyBorder="1" applyAlignment="1" applyProtection="1">
      <alignment horizontal="left" wrapText="1"/>
    </xf>
    <xf numFmtId="1" fontId="4" fillId="2" borderId="5" xfId="0" applyNumberFormat="1" applyFont="1" applyFill="1" applyBorder="1" applyAlignment="1" applyProtection="1">
      <alignment horizontal="center" vertical="center"/>
    </xf>
    <xf numFmtId="2" fontId="6" fillId="2" borderId="3" xfId="0" applyNumberFormat="1" applyFont="1" applyFill="1" applyBorder="1" applyAlignment="1" applyProtection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top"/>
    </xf>
    <xf numFmtId="2" fontId="1" fillId="2" borderId="3" xfId="0" applyNumberFormat="1" applyFont="1" applyFill="1" applyBorder="1" applyAlignment="1" applyProtection="1">
      <alignment horizontal="center"/>
    </xf>
    <xf numFmtId="2" fontId="4" fillId="2" borderId="3" xfId="1" applyNumberFormat="1" applyFont="1" applyFill="1" applyBorder="1" applyAlignment="1" applyProtection="1">
      <alignment horizontal="center" vertical="center"/>
    </xf>
    <xf numFmtId="2" fontId="1" fillId="2" borderId="3" xfId="0" applyNumberFormat="1" applyFont="1" applyFill="1" applyBorder="1" applyAlignment="1" applyProtection="1">
      <alignment vertical="top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 vertical="center"/>
    </xf>
    <xf numFmtId="0" fontId="0" fillId="2" borderId="3" xfId="0" applyFill="1" applyBorder="1" applyAlignment="1">
      <alignment horizontal="right"/>
    </xf>
    <xf numFmtId="0" fontId="1" fillId="2" borderId="5" xfId="0" applyNumberFormat="1" applyFont="1" applyFill="1" applyBorder="1" applyAlignment="1" applyProtection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0" fillId="2" borderId="1" xfId="0" applyFill="1" applyBorder="1" applyAlignment="1">
      <alignment horizontal="right" vertical="top"/>
    </xf>
    <xf numFmtId="0" fontId="4" fillId="2" borderId="3" xfId="0" applyNumberFormat="1" applyFont="1" applyFill="1" applyBorder="1" applyAlignment="1" applyProtection="1">
      <alignment horizontal="right" vertical="top"/>
    </xf>
    <xf numFmtId="0" fontId="4" fillId="2" borderId="3" xfId="0" applyNumberFormat="1" applyFont="1" applyFill="1" applyBorder="1" applyAlignment="1" applyProtection="1">
      <alignment horizontal="right"/>
    </xf>
    <xf numFmtId="0" fontId="1" fillId="2" borderId="3" xfId="0" applyFont="1" applyFill="1" applyBorder="1" applyAlignment="1">
      <alignment horizontal="right" vertical="top"/>
    </xf>
    <xf numFmtId="49" fontId="1" fillId="2" borderId="3" xfId="0" applyNumberFormat="1" applyFont="1" applyFill="1" applyBorder="1" applyAlignment="1" applyProtection="1">
      <alignment horizontal="right"/>
    </xf>
    <xf numFmtId="0" fontId="0" fillId="2" borderId="3" xfId="0" applyFill="1" applyBorder="1" applyAlignment="1">
      <alignment horizontal="right" vertical="center" wrapText="1"/>
    </xf>
    <xf numFmtId="49" fontId="1" fillId="2" borderId="3" xfId="0" applyNumberFormat="1" applyFont="1" applyFill="1" applyBorder="1" applyAlignment="1" applyProtection="1">
      <alignment horizontal="right" vertical="top"/>
    </xf>
    <xf numFmtId="0" fontId="1" fillId="2" borderId="3" xfId="0" applyNumberFormat="1" applyFont="1" applyFill="1" applyBorder="1" applyAlignment="1" applyProtection="1">
      <alignment horizontal="righ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9" fillId="2" borderId="5" xfId="0" applyNumberFormat="1" applyFont="1" applyFill="1" applyBorder="1" applyAlignment="1" applyProtection="1">
      <alignment horizontal="left" vertical="center"/>
    </xf>
    <xf numFmtId="0" fontId="9" fillId="2" borderId="6" xfId="0" applyNumberFormat="1" applyFont="1" applyFill="1" applyBorder="1" applyAlignment="1" applyProtection="1">
      <alignment horizontal="left" vertical="center"/>
    </xf>
    <xf numFmtId="0" fontId="9" fillId="2" borderId="0" xfId="0" applyNumberFormat="1" applyFont="1" applyFill="1" applyBorder="1" applyAlignment="1" applyProtection="1">
      <alignment horizontal="left" vertical="center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 applyProtection="1">
      <alignment vertical="center"/>
    </xf>
    <xf numFmtId="0" fontId="4" fillId="2" borderId="3" xfId="0" applyNumberFormat="1" applyFont="1" applyFill="1" applyBorder="1" applyAlignment="1" applyProtection="1">
      <alignment vertical="center" wrapText="1"/>
    </xf>
    <xf numFmtId="2" fontId="4" fillId="2" borderId="3" xfId="0" applyNumberFormat="1" applyFont="1" applyFill="1" applyBorder="1" applyAlignment="1" applyProtection="1">
      <alignment vertical="center"/>
    </xf>
    <xf numFmtId="0" fontId="9" fillId="2" borderId="4" xfId="0" applyNumberFormat="1" applyFont="1" applyFill="1" applyBorder="1" applyAlignment="1" applyProtection="1">
      <alignment vertical="center"/>
    </xf>
    <xf numFmtId="0" fontId="9" fillId="2" borderId="5" xfId="0" applyNumberFormat="1" applyFont="1" applyFill="1" applyBorder="1" applyAlignment="1" applyProtection="1">
      <alignment vertical="center"/>
    </xf>
    <xf numFmtId="0" fontId="14" fillId="2" borderId="0" xfId="0" applyNumberFormat="1" applyFont="1" applyFill="1" applyBorder="1" applyAlignment="1" applyProtection="1">
      <alignment horizontal="center" vertical="top" wrapText="1"/>
    </xf>
    <xf numFmtId="0" fontId="14" fillId="2" borderId="0" xfId="0" applyNumberFormat="1" applyFont="1" applyFill="1" applyBorder="1" applyAlignment="1" applyProtection="1">
      <alignment vertical="top" wrapText="1"/>
    </xf>
    <xf numFmtId="2" fontId="14" fillId="2" borderId="0" xfId="0" applyNumberFormat="1" applyFont="1" applyFill="1" applyBorder="1" applyAlignment="1" applyProtection="1">
      <alignment horizontal="center" wrapText="1"/>
    </xf>
    <xf numFmtId="2" fontId="14" fillId="2" borderId="0" xfId="0" applyNumberFormat="1" applyFont="1" applyFill="1" applyBorder="1" applyAlignment="1" applyProtection="1">
      <alignment horizontal="center" vertical="top" wrapText="1"/>
    </xf>
    <xf numFmtId="0" fontId="14" fillId="2" borderId="0" xfId="0" applyNumberFormat="1" applyFont="1" applyFill="1" applyBorder="1" applyAlignment="1" applyProtection="1">
      <alignment horizontal="center" vertical="center" wrapText="1"/>
    </xf>
    <xf numFmtId="0" fontId="14" fillId="2" borderId="0" xfId="0" applyNumberFormat="1" applyFont="1" applyFill="1" applyBorder="1" applyAlignment="1" applyProtection="1">
      <alignment horizontal="center" wrapText="1"/>
    </xf>
    <xf numFmtId="0" fontId="15" fillId="2" borderId="0" xfId="0" applyNumberFormat="1" applyFont="1" applyFill="1" applyBorder="1" applyAlignment="1" applyProtection="1">
      <alignment horizontal="center" vertical="center" wrapText="1"/>
    </xf>
    <xf numFmtId="0" fontId="15" fillId="2" borderId="0" xfId="0" applyNumberFormat="1" applyFont="1" applyFill="1" applyBorder="1" applyAlignment="1" applyProtection="1">
      <alignment horizontal="right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top" wrapText="1"/>
    </xf>
    <xf numFmtId="0" fontId="14" fillId="2" borderId="0" xfId="0" applyFont="1" applyFill="1" applyBorder="1" applyAlignment="1">
      <alignment horizontal="center" wrapText="1"/>
    </xf>
    <xf numFmtId="0" fontId="14" fillId="2" borderId="0" xfId="0" applyNumberFormat="1" applyFont="1" applyFill="1" applyBorder="1" applyAlignment="1" applyProtection="1">
      <alignment horizontal="left" vertical="center" wrapText="1"/>
    </xf>
    <xf numFmtId="2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4" fillId="2" borderId="0" xfId="0" applyNumberFormat="1" applyFont="1" applyFill="1" applyBorder="1" applyAlignment="1" applyProtection="1">
      <alignment horizontal="left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left" vertical="center" wrapText="1"/>
    </xf>
    <xf numFmtId="49" fontId="14" fillId="0" borderId="3" xfId="0" applyNumberFormat="1" applyFont="1" applyFill="1" applyBorder="1" applyAlignment="1" applyProtection="1">
      <alignment horizontal="center" vertical="center" wrapText="1"/>
    </xf>
    <xf numFmtId="2" fontId="14" fillId="0" borderId="3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2" fontId="15" fillId="0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>
      <alignment horizontal="left" vertical="center" wrapText="1"/>
    </xf>
    <xf numFmtId="2" fontId="14" fillId="0" borderId="3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1" fontId="14" fillId="0" borderId="3" xfId="0" applyNumberFormat="1" applyFont="1" applyFill="1" applyBorder="1" applyAlignment="1" applyProtection="1">
      <alignment horizontal="center" vertical="center" wrapText="1"/>
    </xf>
    <xf numFmtId="1" fontId="15" fillId="0" borderId="3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vertical="top" wrapText="1"/>
    </xf>
    <xf numFmtId="2" fontId="14" fillId="0" borderId="0" xfId="0" applyNumberFormat="1" applyFont="1" applyFill="1" applyBorder="1" applyAlignment="1" applyProtection="1">
      <alignment horizontal="center" wrapText="1"/>
    </xf>
    <xf numFmtId="0" fontId="14" fillId="0" borderId="0" xfId="0" applyNumberFormat="1" applyFont="1" applyFill="1" applyBorder="1" applyAlignment="1" applyProtection="1">
      <alignment horizontal="center" vertical="top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right" vertical="center" wrapText="1"/>
    </xf>
    <xf numFmtId="0" fontId="14" fillId="0" borderId="0" xfId="0" applyNumberFormat="1" applyFont="1" applyFill="1" applyBorder="1" applyAlignment="1" applyProtection="1">
      <alignment horizontal="center" wrapText="1"/>
    </xf>
    <xf numFmtId="0" fontId="14" fillId="0" borderId="0" xfId="0" applyFont="1" applyFill="1" applyBorder="1" applyAlignment="1">
      <alignment horizontal="center" vertical="top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4" fillId="0" borderId="10" xfId="0" applyNumberFormat="1" applyFont="1" applyFill="1" applyBorder="1" applyAlignment="1" applyProtection="1">
      <alignment horizontal="center" vertical="center" wrapText="1"/>
    </xf>
    <xf numFmtId="0" fontId="17" fillId="0" borderId="3" xfId="0" applyNumberFormat="1" applyFont="1" applyFill="1" applyBorder="1" applyAlignment="1" applyProtection="1">
      <alignment horizontal="center" vertical="center" wrapText="1"/>
    </xf>
    <xf numFmtId="0" fontId="17" fillId="0" borderId="3" xfId="0" applyNumberFormat="1" applyFont="1" applyFill="1" applyBorder="1" applyAlignment="1" applyProtection="1">
      <alignment horizontal="left" vertical="center" wrapText="1"/>
    </xf>
    <xf numFmtId="2" fontId="17" fillId="0" borderId="3" xfId="0" applyNumberFormat="1" applyFont="1" applyFill="1" applyBorder="1" applyAlignment="1" applyProtection="1">
      <alignment horizontal="center" vertical="center" wrapText="1"/>
    </xf>
    <xf numFmtId="49" fontId="17" fillId="0" borderId="3" xfId="0" applyNumberFormat="1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left" vertical="center" wrapText="1"/>
    </xf>
    <xf numFmtId="2" fontId="17" fillId="0" borderId="3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left" vertical="top" wrapText="1"/>
    </xf>
    <xf numFmtId="2" fontId="14" fillId="0" borderId="3" xfId="0" applyNumberFormat="1" applyFont="1" applyFill="1" applyBorder="1" applyAlignment="1">
      <alignment horizontal="center" vertical="top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left" vertical="center" wrapText="1"/>
    </xf>
    <xf numFmtId="0" fontId="15" fillId="0" borderId="4" xfId="0" applyFont="1" applyFill="1" applyBorder="1" applyAlignment="1">
      <alignment horizontal="right" vertical="center" wrapText="1"/>
    </xf>
    <xf numFmtId="0" fontId="15" fillId="0" borderId="5" xfId="0" applyFont="1" applyFill="1" applyBorder="1" applyAlignment="1">
      <alignment horizontal="right" vertical="center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5" fillId="0" borderId="4" xfId="0" applyFont="1" applyFill="1" applyBorder="1" applyAlignment="1">
      <alignment horizontal="right" vertical="center" wrapText="1"/>
    </xf>
    <xf numFmtId="0" fontId="15" fillId="0" borderId="5" xfId="0" applyFont="1" applyFill="1" applyBorder="1" applyAlignment="1">
      <alignment horizontal="right" vertical="center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5" fillId="0" borderId="3" xfId="0" applyNumberFormat="1" applyFont="1" applyFill="1" applyBorder="1" applyAlignment="1" applyProtection="1">
      <alignment horizontal="left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15" fillId="0" borderId="4" xfId="0" applyNumberFormat="1" applyFont="1" applyFill="1" applyBorder="1" applyAlignment="1" applyProtection="1">
      <alignment horizontal="left" vertical="center" wrapText="1"/>
    </xf>
    <xf numFmtId="0" fontId="15" fillId="0" borderId="6" xfId="0" applyNumberFormat="1" applyFont="1" applyFill="1" applyBorder="1" applyAlignment="1" applyProtection="1">
      <alignment horizontal="left" vertical="center" wrapText="1"/>
    </xf>
    <xf numFmtId="0" fontId="15" fillId="0" borderId="5" xfId="0" applyNumberFormat="1" applyFont="1" applyFill="1" applyBorder="1" applyAlignment="1" applyProtection="1">
      <alignment horizontal="left" vertical="center" wrapText="1"/>
    </xf>
    <xf numFmtId="0" fontId="15" fillId="0" borderId="3" xfId="0" applyNumberFormat="1" applyFont="1" applyFill="1" applyBorder="1" applyAlignment="1" applyProtection="1">
      <alignment horizontal="left" vertical="center" wrapText="1"/>
    </xf>
    <xf numFmtId="0" fontId="15" fillId="0" borderId="4" xfId="0" applyFont="1" applyFill="1" applyBorder="1" applyAlignment="1">
      <alignment horizontal="right" vertical="center" wrapText="1"/>
    </xf>
    <xf numFmtId="0" fontId="15" fillId="0" borderId="5" xfId="0" applyFont="1" applyFill="1" applyBorder="1" applyAlignment="1">
      <alignment horizontal="right" vertical="center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4" fillId="0" borderId="7" xfId="0" applyNumberFormat="1" applyFont="1" applyFill="1" applyBorder="1" applyAlignment="1" applyProtection="1">
      <alignment horizontal="left" vertical="center" wrapText="1"/>
    </xf>
    <xf numFmtId="0" fontId="18" fillId="0" borderId="4" xfId="0" applyFont="1" applyFill="1" applyBorder="1" applyAlignment="1">
      <alignment horizontal="right" vertical="center" wrapText="1"/>
    </xf>
    <xf numFmtId="0" fontId="18" fillId="0" borderId="5" xfId="0" applyFont="1" applyFill="1" applyBorder="1" applyAlignment="1">
      <alignment horizontal="right" vertical="center" wrapText="1"/>
    </xf>
    <xf numFmtId="0" fontId="9" fillId="2" borderId="0" xfId="0" applyNumberFormat="1" applyFont="1" applyFill="1" applyBorder="1" applyAlignment="1" applyProtection="1">
      <alignment horizontal="left" vertical="center"/>
    </xf>
    <xf numFmtId="0" fontId="9" fillId="2" borderId="4" xfId="0" applyNumberFormat="1" applyFont="1" applyFill="1" applyBorder="1" applyAlignment="1" applyProtection="1">
      <alignment horizontal="left" vertical="center"/>
    </xf>
    <xf numFmtId="0" fontId="9" fillId="2" borderId="5" xfId="0" applyNumberFormat="1" applyFont="1" applyFill="1" applyBorder="1" applyAlignment="1" applyProtection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9" fillId="2" borderId="6" xfId="0" applyNumberFormat="1" applyFont="1" applyFill="1" applyBorder="1" applyAlignment="1" applyProtection="1">
      <alignment horizontal="left" vertical="center"/>
    </xf>
    <xf numFmtId="0" fontId="2" fillId="2" borderId="4" xfId="0" applyNumberFormat="1" applyFont="1" applyFill="1" applyBorder="1" applyAlignment="1" applyProtection="1">
      <alignment horizontal="right" vertical="center"/>
    </xf>
    <xf numFmtId="0" fontId="2" fillId="2" borderId="6" xfId="0" applyNumberFormat="1" applyFont="1" applyFill="1" applyBorder="1" applyAlignment="1" applyProtection="1">
      <alignment horizontal="right" vertical="center"/>
    </xf>
    <xf numFmtId="0" fontId="2" fillId="2" borderId="5" xfId="0" applyNumberFormat="1" applyFont="1" applyFill="1" applyBorder="1" applyAlignment="1" applyProtection="1">
      <alignment horizontal="right" vertical="center"/>
    </xf>
    <xf numFmtId="0" fontId="13" fillId="2" borderId="0" xfId="0" applyNumberFormat="1" applyFont="1" applyFill="1" applyBorder="1" applyAlignment="1" applyProtection="1">
      <alignment horizontal="center" vertical="center"/>
    </xf>
    <xf numFmtId="0" fontId="13" fillId="2" borderId="7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 applyProtection="1">
      <alignment horizontal="left" vertical="center" indent="1"/>
    </xf>
    <xf numFmtId="0" fontId="2" fillId="2" borderId="6" xfId="0" applyNumberFormat="1" applyFont="1" applyFill="1" applyBorder="1" applyAlignment="1" applyProtection="1">
      <alignment horizontal="left" vertical="center" indent="1"/>
    </xf>
    <xf numFmtId="0" fontId="2" fillId="2" borderId="5" xfId="0" applyNumberFormat="1" applyFont="1" applyFill="1" applyBorder="1" applyAlignment="1" applyProtection="1">
      <alignment horizontal="left" vertical="center" indent="1"/>
    </xf>
    <xf numFmtId="0" fontId="2" fillId="2" borderId="1" xfId="0" applyNumberFormat="1" applyFont="1" applyFill="1" applyBorder="1" applyAlignment="1" applyProtection="1">
      <alignment horizontal="left" wrapText="1"/>
    </xf>
    <xf numFmtId="0" fontId="2" fillId="2" borderId="2" xfId="0" applyNumberFormat="1" applyFont="1" applyFill="1" applyBorder="1" applyAlignment="1" applyProtection="1">
      <alignment horizontal="left" wrapText="1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Y158"/>
  <sheetViews>
    <sheetView tabSelected="1" zoomScaleNormal="100" workbookViewId="0">
      <selection sqref="A1:G2"/>
    </sheetView>
  </sheetViews>
  <sheetFormatPr defaultRowHeight="12.75" x14ac:dyDescent="0.2"/>
  <cols>
    <col min="1" max="1" width="11" style="186" customWidth="1"/>
    <col min="2" max="2" width="32.85546875" style="193" customWidth="1"/>
    <col min="3" max="3" width="10" style="186" customWidth="1"/>
    <col min="4" max="4" width="7.28515625" style="186" customWidth="1"/>
    <col min="5" max="5" width="7.7109375" style="186" customWidth="1"/>
    <col min="6" max="6" width="7.42578125" style="186" customWidth="1"/>
    <col min="7" max="7" width="11.85546875" style="186" customWidth="1"/>
    <col min="8" max="16384" width="9.140625" style="183"/>
  </cols>
  <sheetData>
    <row r="1" spans="1:8" x14ac:dyDescent="0.2">
      <c r="A1" s="244" t="s">
        <v>262</v>
      </c>
      <c r="B1" s="244"/>
      <c r="C1" s="244"/>
      <c r="D1" s="244"/>
      <c r="E1" s="244"/>
      <c r="F1" s="244"/>
      <c r="G1" s="244"/>
    </row>
    <row r="2" spans="1:8" ht="21" customHeight="1" x14ac:dyDescent="0.2">
      <c r="A2" s="244"/>
      <c r="B2" s="244"/>
      <c r="C2" s="244"/>
      <c r="D2" s="244"/>
      <c r="E2" s="244"/>
      <c r="F2" s="244"/>
      <c r="G2" s="244"/>
    </row>
    <row r="3" spans="1:8" x14ac:dyDescent="0.2">
      <c r="A3" s="252" t="s">
        <v>218</v>
      </c>
      <c r="B3" s="252"/>
      <c r="C3" s="252"/>
      <c r="D3" s="252"/>
      <c r="E3" s="252"/>
      <c r="F3" s="252"/>
      <c r="G3" s="252"/>
    </row>
    <row r="4" spans="1:8" ht="48.75" customHeight="1" x14ac:dyDescent="0.2">
      <c r="A4" s="253"/>
      <c r="B4" s="253"/>
      <c r="C4" s="253"/>
      <c r="D4" s="253"/>
      <c r="E4" s="253"/>
      <c r="F4" s="253"/>
      <c r="G4" s="253"/>
    </row>
    <row r="5" spans="1:8" ht="33.75" customHeight="1" x14ac:dyDescent="0.2">
      <c r="A5" s="245" t="s">
        <v>204</v>
      </c>
      <c r="B5" s="245" t="s">
        <v>205</v>
      </c>
      <c r="C5" s="245" t="s">
        <v>206</v>
      </c>
      <c r="D5" s="245" t="s">
        <v>207</v>
      </c>
      <c r="E5" s="245"/>
      <c r="F5" s="245"/>
      <c r="G5" s="245" t="s">
        <v>23</v>
      </c>
    </row>
    <row r="6" spans="1:8" ht="34.5" customHeight="1" x14ac:dyDescent="0.2">
      <c r="A6" s="245"/>
      <c r="B6" s="245"/>
      <c r="C6" s="245"/>
      <c r="D6" s="234" t="s">
        <v>17</v>
      </c>
      <c r="E6" s="234" t="s">
        <v>19</v>
      </c>
      <c r="F6" s="234" t="s">
        <v>21</v>
      </c>
      <c r="G6" s="245"/>
    </row>
    <row r="7" spans="1:8" s="186" customFormat="1" x14ac:dyDescent="0.2">
      <c r="A7" s="234" t="s">
        <v>2</v>
      </c>
      <c r="B7" s="234" t="s">
        <v>8</v>
      </c>
      <c r="C7" s="234" t="s">
        <v>15</v>
      </c>
      <c r="D7" s="234" t="s">
        <v>18</v>
      </c>
      <c r="E7" s="234" t="s">
        <v>20</v>
      </c>
      <c r="F7" s="234" t="s">
        <v>22</v>
      </c>
      <c r="G7" s="234" t="s">
        <v>24</v>
      </c>
    </row>
    <row r="8" spans="1:8" ht="27.95" customHeight="1" x14ac:dyDescent="0.2">
      <c r="A8" s="249" t="s">
        <v>208</v>
      </c>
      <c r="B8" s="249"/>
      <c r="C8" s="249"/>
      <c r="D8" s="205">
        <f>D9</f>
        <v>14.9</v>
      </c>
      <c r="E8" s="205">
        <f>E9</f>
        <v>30.14</v>
      </c>
      <c r="F8" s="205">
        <f>F9</f>
        <v>77.73</v>
      </c>
      <c r="G8" s="205">
        <f>G9</f>
        <v>645.64</v>
      </c>
    </row>
    <row r="9" spans="1:8" x14ac:dyDescent="0.2">
      <c r="A9" s="234"/>
      <c r="B9" s="235" t="s">
        <v>243</v>
      </c>
      <c r="C9" s="234"/>
      <c r="D9" s="205">
        <f>D10+D11+D12+D13+D16</f>
        <v>14.9</v>
      </c>
      <c r="E9" s="205">
        <f t="shared" ref="E9:G9" si="0">E10+E11+E12+E13+E16</f>
        <v>30.14</v>
      </c>
      <c r="F9" s="205">
        <f t="shared" si="0"/>
        <v>77.73</v>
      </c>
      <c r="G9" s="205">
        <f t="shared" si="0"/>
        <v>645.64</v>
      </c>
      <c r="H9" s="211"/>
    </row>
    <row r="10" spans="1:8" x14ac:dyDescent="0.2">
      <c r="A10" s="221" t="s">
        <v>162</v>
      </c>
      <c r="B10" s="222" t="s">
        <v>35</v>
      </c>
      <c r="C10" s="221">
        <v>15</v>
      </c>
      <c r="D10" s="223">
        <v>3.9</v>
      </c>
      <c r="E10" s="223">
        <v>3.98</v>
      </c>
      <c r="F10" s="223">
        <v>0.53</v>
      </c>
      <c r="G10" s="223">
        <v>54.36</v>
      </c>
      <c r="H10" s="211"/>
    </row>
    <row r="11" spans="1:8" ht="25.5" x14ac:dyDescent="0.2">
      <c r="A11" s="221" t="s">
        <v>161</v>
      </c>
      <c r="B11" s="222" t="s">
        <v>183</v>
      </c>
      <c r="C11" s="221" t="s">
        <v>240</v>
      </c>
      <c r="D11" s="223">
        <v>7</v>
      </c>
      <c r="E11" s="223">
        <v>16.16</v>
      </c>
      <c r="F11" s="223">
        <v>27.2</v>
      </c>
      <c r="G11" s="223">
        <v>282.27999999999997</v>
      </c>
      <c r="H11" s="211"/>
    </row>
    <row r="12" spans="1:8" x14ac:dyDescent="0.2">
      <c r="A12" s="200" t="s">
        <v>163</v>
      </c>
      <c r="B12" s="199" t="s">
        <v>10</v>
      </c>
      <c r="C12" s="200">
        <v>200</v>
      </c>
      <c r="D12" s="201">
        <v>0</v>
      </c>
      <c r="E12" s="201">
        <v>0</v>
      </c>
      <c r="F12" s="201">
        <v>10</v>
      </c>
      <c r="G12" s="201">
        <v>42</v>
      </c>
      <c r="H12" s="211"/>
    </row>
    <row r="13" spans="1:8" x14ac:dyDescent="0.2">
      <c r="A13" s="221"/>
      <c r="B13" s="222" t="s">
        <v>234</v>
      </c>
      <c r="C13" s="221">
        <v>40</v>
      </c>
      <c r="D13" s="223">
        <v>3</v>
      </c>
      <c r="E13" s="223">
        <v>1</v>
      </c>
      <c r="F13" s="223">
        <v>21</v>
      </c>
      <c r="G13" s="223">
        <v>105</v>
      </c>
      <c r="H13" s="211"/>
    </row>
    <row r="14" spans="1:8" hidden="1" x14ac:dyDescent="0.2">
      <c r="A14" s="224"/>
      <c r="B14" s="222"/>
      <c r="C14" s="224"/>
      <c r="D14" s="223"/>
      <c r="E14" s="223"/>
      <c r="F14" s="223"/>
      <c r="G14" s="223"/>
      <c r="H14" s="211"/>
    </row>
    <row r="15" spans="1:8" hidden="1" x14ac:dyDescent="0.2">
      <c r="A15" s="225"/>
      <c r="B15" s="226"/>
      <c r="C15" s="225"/>
      <c r="D15" s="227"/>
      <c r="E15" s="227"/>
      <c r="F15" s="227"/>
      <c r="G15" s="227"/>
      <c r="H15" s="211"/>
    </row>
    <row r="16" spans="1:8" x14ac:dyDescent="0.2">
      <c r="A16" s="221"/>
      <c r="B16" s="222" t="s">
        <v>241</v>
      </c>
      <c r="C16" s="221">
        <v>30</v>
      </c>
      <c r="D16" s="223">
        <v>1</v>
      </c>
      <c r="E16" s="223">
        <v>9</v>
      </c>
      <c r="F16" s="223">
        <v>19</v>
      </c>
      <c r="G16" s="223">
        <v>162</v>
      </c>
      <c r="H16" s="211"/>
    </row>
    <row r="17" spans="1:14" x14ac:dyDescent="0.2">
      <c r="A17" s="254" t="s">
        <v>217</v>
      </c>
      <c r="B17" s="255"/>
      <c r="C17" s="228">
        <v>500</v>
      </c>
      <c r="D17" s="227"/>
      <c r="E17" s="227"/>
      <c r="F17" s="227"/>
      <c r="G17" s="227" t="s">
        <v>219</v>
      </c>
      <c r="H17" s="211"/>
    </row>
    <row r="18" spans="1:14" ht="27.95" customHeight="1" x14ac:dyDescent="0.2">
      <c r="A18" s="249" t="s">
        <v>209</v>
      </c>
      <c r="B18" s="249"/>
      <c r="C18" s="249"/>
      <c r="D18" s="205">
        <f>D19</f>
        <v>23.92</v>
      </c>
      <c r="E18" s="205">
        <f>E19</f>
        <v>16.2</v>
      </c>
      <c r="F18" s="205">
        <f>F19</f>
        <v>131.87</v>
      </c>
      <c r="G18" s="205">
        <f>G19</f>
        <v>768.55000000000007</v>
      </c>
      <c r="H18" s="211"/>
    </row>
    <row r="19" spans="1:14" x14ac:dyDescent="0.2">
      <c r="A19" s="234"/>
      <c r="B19" s="235" t="s">
        <v>243</v>
      </c>
      <c r="C19" s="234"/>
      <c r="D19" s="205">
        <f>D20+D21+D22+D23</f>
        <v>23.92</v>
      </c>
      <c r="E19" s="205">
        <f t="shared" ref="E19:G19" si="1">E20+E21+E22+E23</f>
        <v>16.2</v>
      </c>
      <c r="F19" s="205">
        <f t="shared" si="1"/>
        <v>131.87</v>
      </c>
      <c r="G19" s="205">
        <f t="shared" si="1"/>
        <v>768.55000000000007</v>
      </c>
      <c r="H19" s="211"/>
    </row>
    <row r="20" spans="1:14" x14ac:dyDescent="0.2">
      <c r="A20" s="198" t="s">
        <v>250</v>
      </c>
      <c r="B20" s="199" t="s">
        <v>233</v>
      </c>
      <c r="C20" s="200" t="s">
        <v>230</v>
      </c>
      <c r="D20" s="201">
        <v>13.96</v>
      </c>
      <c r="E20" s="201">
        <v>9.77</v>
      </c>
      <c r="F20" s="201">
        <v>37.340000000000003</v>
      </c>
      <c r="G20" s="201">
        <v>293.12</v>
      </c>
      <c r="H20" s="202"/>
      <c r="I20" s="195"/>
      <c r="J20" s="203"/>
      <c r="K20" s="194"/>
      <c r="L20" s="194"/>
      <c r="M20" s="194"/>
      <c r="N20" s="194"/>
    </row>
    <row r="21" spans="1:14" ht="27" customHeight="1" x14ac:dyDescent="0.2">
      <c r="A21" s="198" t="s">
        <v>224</v>
      </c>
      <c r="B21" s="206" t="s">
        <v>229</v>
      </c>
      <c r="C21" s="204">
        <v>200</v>
      </c>
      <c r="D21" s="201">
        <v>1.92</v>
      </c>
      <c r="E21" s="201">
        <v>0.11</v>
      </c>
      <c r="F21" s="201">
        <v>29.85</v>
      </c>
      <c r="G21" s="201">
        <v>128.09</v>
      </c>
      <c r="H21" s="211"/>
    </row>
    <row r="22" spans="1:14" x14ac:dyDescent="0.2">
      <c r="A22" s="204"/>
      <c r="B22" s="199" t="s">
        <v>11</v>
      </c>
      <c r="C22" s="204">
        <v>40</v>
      </c>
      <c r="D22" s="201">
        <v>3.04</v>
      </c>
      <c r="E22" s="201">
        <v>0.32</v>
      </c>
      <c r="F22" s="201">
        <v>19.68</v>
      </c>
      <c r="G22" s="201">
        <v>98.34</v>
      </c>
      <c r="H22" s="211"/>
    </row>
    <row r="23" spans="1:14" x14ac:dyDescent="0.2">
      <c r="A23" s="198"/>
      <c r="B23" s="199" t="s">
        <v>245</v>
      </c>
      <c r="C23" s="204">
        <v>60</v>
      </c>
      <c r="D23" s="201">
        <v>5</v>
      </c>
      <c r="E23" s="201">
        <v>6</v>
      </c>
      <c r="F23" s="201">
        <v>45</v>
      </c>
      <c r="G23" s="201">
        <v>249</v>
      </c>
      <c r="H23" s="211"/>
    </row>
    <row r="24" spans="1:14" x14ac:dyDescent="0.2">
      <c r="A24" s="250" t="s">
        <v>217</v>
      </c>
      <c r="B24" s="251"/>
      <c r="C24" s="234">
        <v>500</v>
      </c>
      <c r="D24" s="201"/>
      <c r="E24" s="201"/>
      <c r="F24" s="201"/>
      <c r="G24" s="201"/>
      <c r="H24" s="211"/>
    </row>
    <row r="25" spans="1:14" ht="27.95" customHeight="1" x14ac:dyDescent="0.2">
      <c r="A25" s="249" t="s">
        <v>210</v>
      </c>
      <c r="B25" s="249"/>
      <c r="C25" s="249"/>
      <c r="D25" s="205">
        <f>D26</f>
        <v>21.749999999999996</v>
      </c>
      <c r="E25" s="205">
        <f>E26</f>
        <v>28.5</v>
      </c>
      <c r="F25" s="205">
        <f>F26</f>
        <v>48.79</v>
      </c>
      <c r="G25" s="205">
        <f>G26</f>
        <v>549.54999999999995</v>
      </c>
      <c r="H25" s="211"/>
    </row>
    <row r="26" spans="1:14" x14ac:dyDescent="0.2">
      <c r="A26" s="234"/>
      <c r="B26" s="235" t="s">
        <v>243</v>
      </c>
      <c r="C26" s="234"/>
      <c r="D26" s="205">
        <f>D27+D28+D29+D30</f>
        <v>21.749999999999996</v>
      </c>
      <c r="E26" s="205">
        <f t="shared" ref="E26:G26" si="2">E27+E28+E29+E30</f>
        <v>28.5</v>
      </c>
      <c r="F26" s="205">
        <f t="shared" si="2"/>
        <v>48.79</v>
      </c>
      <c r="G26" s="205">
        <f t="shared" si="2"/>
        <v>549.54999999999995</v>
      </c>
      <c r="H26" s="211"/>
    </row>
    <row r="27" spans="1:14" ht="15" customHeight="1" x14ac:dyDescent="0.2">
      <c r="A27" s="198"/>
      <c r="B27" s="199" t="s">
        <v>242</v>
      </c>
      <c r="C27" s="204" t="s">
        <v>260</v>
      </c>
      <c r="D27" s="201">
        <v>0.4</v>
      </c>
      <c r="E27" s="201">
        <v>0.4</v>
      </c>
      <c r="F27" s="201">
        <v>9.8000000000000007</v>
      </c>
      <c r="G27" s="201">
        <v>47</v>
      </c>
      <c r="H27" s="211"/>
    </row>
    <row r="28" spans="1:14" x14ac:dyDescent="0.2">
      <c r="A28" s="204" t="s">
        <v>225</v>
      </c>
      <c r="B28" s="199" t="s">
        <v>226</v>
      </c>
      <c r="C28" s="204" t="s">
        <v>235</v>
      </c>
      <c r="D28" s="201">
        <v>16.7</v>
      </c>
      <c r="E28" s="201">
        <v>26.12</v>
      </c>
      <c r="F28" s="201">
        <v>3.17</v>
      </c>
      <c r="G28" s="201">
        <v>314.48</v>
      </c>
      <c r="H28" s="211"/>
    </row>
    <row r="29" spans="1:14" ht="29.25" customHeight="1" x14ac:dyDescent="0.2">
      <c r="A29" s="221" t="s">
        <v>164</v>
      </c>
      <c r="B29" s="222" t="s">
        <v>51</v>
      </c>
      <c r="C29" s="221">
        <v>200</v>
      </c>
      <c r="D29" s="223">
        <v>1.99</v>
      </c>
      <c r="E29" s="223">
        <v>1.7</v>
      </c>
      <c r="F29" s="223">
        <v>18.600000000000001</v>
      </c>
      <c r="G29" s="223">
        <v>102.03</v>
      </c>
      <c r="H29" s="211"/>
    </row>
    <row r="30" spans="1:14" ht="15" customHeight="1" x14ac:dyDescent="0.2">
      <c r="A30" s="204"/>
      <c r="B30" s="199" t="s">
        <v>11</v>
      </c>
      <c r="C30" s="204">
        <v>35</v>
      </c>
      <c r="D30" s="201">
        <v>2.66</v>
      </c>
      <c r="E30" s="201">
        <v>0.28000000000000003</v>
      </c>
      <c r="F30" s="201">
        <v>17.22</v>
      </c>
      <c r="G30" s="201">
        <v>86.04</v>
      </c>
      <c r="H30" s="211"/>
    </row>
    <row r="31" spans="1:14" x14ac:dyDescent="0.2">
      <c r="A31" s="250" t="s">
        <v>217</v>
      </c>
      <c r="B31" s="251"/>
      <c r="C31" s="234">
        <v>530</v>
      </c>
      <c r="D31" s="201"/>
      <c r="E31" s="201"/>
      <c r="F31" s="201"/>
      <c r="G31" s="201"/>
      <c r="H31" s="211"/>
    </row>
    <row r="32" spans="1:14" ht="27.95" customHeight="1" x14ac:dyDescent="0.2">
      <c r="A32" s="249" t="s">
        <v>211</v>
      </c>
      <c r="B32" s="249"/>
      <c r="C32" s="249"/>
      <c r="D32" s="205">
        <f>D33</f>
        <v>19.68</v>
      </c>
      <c r="E32" s="205">
        <f>E33</f>
        <v>22.72</v>
      </c>
      <c r="F32" s="205">
        <f>F33</f>
        <v>100.71000000000001</v>
      </c>
      <c r="G32" s="205">
        <f>G33</f>
        <v>688.42</v>
      </c>
      <c r="H32" s="211"/>
    </row>
    <row r="33" spans="1:9" x14ac:dyDescent="0.2">
      <c r="A33" s="234"/>
      <c r="B33" s="235" t="s">
        <v>243</v>
      </c>
      <c r="C33" s="234"/>
      <c r="D33" s="205">
        <f>D34+D35+D36+D37</f>
        <v>19.68</v>
      </c>
      <c r="E33" s="205">
        <f t="shared" ref="E33:G33" si="3">E34+E35+E36+E37</f>
        <v>22.72</v>
      </c>
      <c r="F33" s="205">
        <f t="shared" si="3"/>
        <v>100.71000000000001</v>
      </c>
      <c r="G33" s="205">
        <f t="shared" si="3"/>
        <v>688.42</v>
      </c>
      <c r="H33" s="211"/>
    </row>
    <row r="34" spans="1:9" x14ac:dyDescent="0.2">
      <c r="A34" s="198" t="s">
        <v>169</v>
      </c>
      <c r="B34" s="199" t="s">
        <v>251</v>
      </c>
      <c r="C34" s="204" t="s">
        <v>231</v>
      </c>
      <c r="D34" s="201">
        <v>12.49</v>
      </c>
      <c r="E34" s="201">
        <v>20.399999999999999</v>
      </c>
      <c r="F34" s="201">
        <v>22</v>
      </c>
      <c r="G34" s="201">
        <v>321.68</v>
      </c>
      <c r="H34" s="211"/>
    </row>
    <row r="35" spans="1:9" ht="25.5" x14ac:dyDescent="0.2">
      <c r="A35" s="204" t="s">
        <v>42</v>
      </c>
      <c r="B35" s="199" t="s">
        <v>244</v>
      </c>
      <c r="C35" s="204">
        <v>200</v>
      </c>
      <c r="D35" s="201">
        <v>1.1499999999999999</v>
      </c>
      <c r="E35" s="201">
        <v>0</v>
      </c>
      <c r="F35" s="201">
        <v>12.03</v>
      </c>
      <c r="G35" s="201">
        <v>55.4</v>
      </c>
      <c r="H35" s="211"/>
      <c r="I35" s="183">
        <v>0</v>
      </c>
    </row>
    <row r="36" spans="1:9" x14ac:dyDescent="0.2">
      <c r="A36" s="204"/>
      <c r="B36" s="199" t="s">
        <v>11</v>
      </c>
      <c r="C36" s="204">
        <v>40</v>
      </c>
      <c r="D36" s="201">
        <v>3.04</v>
      </c>
      <c r="E36" s="201">
        <v>0.32</v>
      </c>
      <c r="F36" s="201">
        <v>19.68</v>
      </c>
      <c r="G36" s="201">
        <v>98.34</v>
      </c>
      <c r="H36" s="211"/>
    </row>
    <row r="37" spans="1:9" x14ac:dyDescent="0.2">
      <c r="A37" s="204"/>
      <c r="B37" s="199" t="s">
        <v>246</v>
      </c>
      <c r="C37" s="204">
        <v>60</v>
      </c>
      <c r="D37" s="201">
        <v>3</v>
      </c>
      <c r="E37" s="201">
        <v>2</v>
      </c>
      <c r="F37" s="201">
        <v>47</v>
      </c>
      <c r="G37" s="201">
        <v>213</v>
      </c>
      <c r="H37" s="211"/>
    </row>
    <row r="38" spans="1:9" ht="15" customHeight="1" x14ac:dyDescent="0.2">
      <c r="A38" s="250" t="s">
        <v>217</v>
      </c>
      <c r="B38" s="251"/>
      <c r="C38" s="234">
        <v>500</v>
      </c>
      <c r="D38" s="201"/>
      <c r="E38" s="201"/>
      <c r="F38" s="201"/>
      <c r="G38" s="201"/>
      <c r="H38" s="211"/>
    </row>
    <row r="39" spans="1:9" ht="15" customHeight="1" x14ac:dyDescent="0.2">
      <c r="A39" s="236"/>
      <c r="B39" s="237"/>
      <c r="C39" s="234"/>
      <c r="D39" s="201"/>
      <c r="E39" s="201"/>
      <c r="F39" s="201"/>
      <c r="G39" s="201"/>
      <c r="H39" s="211"/>
    </row>
    <row r="40" spans="1:9" ht="15" customHeight="1" x14ac:dyDescent="0.2">
      <c r="A40" s="236"/>
      <c r="B40" s="237"/>
      <c r="C40" s="234"/>
      <c r="D40" s="201"/>
      <c r="E40" s="201"/>
      <c r="F40" s="201"/>
      <c r="G40" s="201"/>
      <c r="H40" s="211"/>
    </row>
    <row r="41" spans="1:9" ht="27.95" customHeight="1" x14ac:dyDescent="0.2">
      <c r="A41" s="249" t="s">
        <v>212</v>
      </c>
      <c r="B41" s="249"/>
      <c r="C41" s="249"/>
      <c r="D41" s="205">
        <f>D42</f>
        <v>19.760000000000002</v>
      </c>
      <c r="E41" s="205">
        <f>E42</f>
        <v>15</v>
      </c>
      <c r="F41" s="205">
        <f>F42</f>
        <v>87.62</v>
      </c>
      <c r="G41" s="205">
        <f>G42</f>
        <v>575.36</v>
      </c>
      <c r="H41" s="211"/>
    </row>
    <row r="42" spans="1:9" x14ac:dyDescent="0.2">
      <c r="A42" s="234"/>
      <c r="B42" s="235" t="s">
        <v>243</v>
      </c>
      <c r="C42" s="234"/>
      <c r="D42" s="205">
        <f>D43+D44+D45+D46</f>
        <v>19.760000000000002</v>
      </c>
      <c r="E42" s="205">
        <f t="shared" ref="E42:G42" si="4">E43+E44+E45+E46</f>
        <v>15</v>
      </c>
      <c r="F42" s="205">
        <f t="shared" si="4"/>
        <v>87.62</v>
      </c>
      <c r="G42" s="205">
        <f t="shared" si="4"/>
        <v>575.36</v>
      </c>
      <c r="H42" s="211"/>
    </row>
    <row r="43" spans="1:9" x14ac:dyDescent="0.2">
      <c r="A43" s="204" t="s">
        <v>252</v>
      </c>
      <c r="B43" s="199" t="s">
        <v>249</v>
      </c>
      <c r="C43" s="204">
        <v>100</v>
      </c>
      <c r="D43" s="201">
        <v>12.55</v>
      </c>
      <c r="E43" s="201">
        <v>6.8</v>
      </c>
      <c r="F43" s="201">
        <v>15.53</v>
      </c>
      <c r="G43" s="201">
        <v>173.55</v>
      </c>
      <c r="H43" s="211"/>
    </row>
    <row r="44" spans="1:9" x14ac:dyDescent="0.2">
      <c r="A44" s="204" t="s">
        <v>34</v>
      </c>
      <c r="B44" s="199" t="s">
        <v>32</v>
      </c>
      <c r="C44" s="209">
        <v>150</v>
      </c>
      <c r="D44" s="201">
        <v>3.26</v>
      </c>
      <c r="E44" s="201">
        <v>7.8</v>
      </c>
      <c r="F44" s="201">
        <v>21.99</v>
      </c>
      <c r="G44" s="201">
        <v>176.3</v>
      </c>
      <c r="H44" s="211"/>
    </row>
    <row r="45" spans="1:9" ht="25.5" x14ac:dyDescent="0.2">
      <c r="A45" s="198" t="s">
        <v>253</v>
      </c>
      <c r="B45" s="199" t="s">
        <v>259</v>
      </c>
      <c r="C45" s="204">
        <v>200</v>
      </c>
      <c r="D45" s="201">
        <v>0.15</v>
      </c>
      <c r="E45" s="201">
        <v>0</v>
      </c>
      <c r="F45" s="201">
        <v>25.5</v>
      </c>
      <c r="G45" s="201">
        <v>102.58</v>
      </c>
      <c r="H45" s="211"/>
    </row>
    <row r="46" spans="1:9" ht="13.5" customHeight="1" x14ac:dyDescent="0.2">
      <c r="A46" s="204"/>
      <c r="B46" s="199" t="s">
        <v>11</v>
      </c>
      <c r="C46" s="204">
        <v>50</v>
      </c>
      <c r="D46" s="201">
        <v>3.8</v>
      </c>
      <c r="E46" s="201">
        <v>0.4</v>
      </c>
      <c r="F46" s="201">
        <v>24.6</v>
      </c>
      <c r="G46" s="201">
        <v>122.93</v>
      </c>
      <c r="H46" s="211"/>
    </row>
    <row r="47" spans="1:9" x14ac:dyDescent="0.2">
      <c r="A47" s="250" t="s">
        <v>217</v>
      </c>
      <c r="B47" s="251"/>
      <c r="C47" s="234">
        <v>500</v>
      </c>
      <c r="D47" s="201"/>
      <c r="E47" s="201"/>
      <c r="F47" s="201"/>
      <c r="G47" s="201"/>
      <c r="H47" s="211"/>
    </row>
    <row r="48" spans="1:9" ht="27.95" customHeight="1" x14ac:dyDescent="0.2">
      <c r="A48" s="249" t="s">
        <v>213</v>
      </c>
      <c r="B48" s="249"/>
      <c r="C48" s="249"/>
      <c r="D48" s="205">
        <f>D49</f>
        <v>15.23</v>
      </c>
      <c r="E48" s="205">
        <f t="shared" ref="E48:G48" si="5">E49</f>
        <v>28.98</v>
      </c>
      <c r="F48" s="205">
        <f t="shared" si="5"/>
        <v>91.460000000000008</v>
      </c>
      <c r="G48" s="205">
        <f t="shared" si="5"/>
        <v>691.42000000000007</v>
      </c>
      <c r="H48" s="211"/>
    </row>
    <row r="49" spans="1:24" x14ac:dyDescent="0.2">
      <c r="A49" s="234"/>
      <c r="B49" s="235" t="s">
        <v>243</v>
      </c>
      <c r="C49" s="234"/>
      <c r="D49" s="205">
        <f>D50+D51+D52+D53+D54</f>
        <v>15.23</v>
      </c>
      <c r="E49" s="205">
        <f t="shared" ref="E49:G49" si="6">E50+E51+E52+E53+E54</f>
        <v>28.98</v>
      </c>
      <c r="F49" s="205">
        <f t="shared" si="6"/>
        <v>91.460000000000008</v>
      </c>
      <c r="G49" s="205">
        <f t="shared" si="6"/>
        <v>691.42000000000007</v>
      </c>
      <c r="H49" s="211"/>
    </row>
    <row r="50" spans="1:24" x14ac:dyDescent="0.2">
      <c r="A50" s="221" t="s">
        <v>162</v>
      </c>
      <c r="B50" s="222" t="s">
        <v>35</v>
      </c>
      <c r="C50" s="221">
        <v>15</v>
      </c>
      <c r="D50" s="223">
        <v>3.9</v>
      </c>
      <c r="E50" s="223">
        <v>3.98</v>
      </c>
      <c r="F50" s="223">
        <v>0.53</v>
      </c>
      <c r="G50" s="223">
        <v>54.36</v>
      </c>
      <c r="H50" s="211"/>
    </row>
    <row r="51" spans="1:24" ht="24.75" customHeight="1" x14ac:dyDescent="0.2">
      <c r="A51" s="204" t="s">
        <v>161</v>
      </c>
      <c r="B51" s="199" t="s">
        <v>187</v>
      </c>
      <c r="C51" s="204" t="s">
        <v>240</v>
      </c>
      <c r="D51" s="201">
        <v>7.33</v>
      </c>
      <c r="E51" s="201">
        <v>15</v>
      </c>
      <c r="F51" s="201">
        <v>40.93</v>
      </c>
      <c r="G51" s="201">
        <v>328.06</v>
      </c>
      <c r="H51" s="212"/>
      <c r="I51" s="184"/>
      <c r="J51" s="184"/>
      <c r="K51" s="184"/>
      <c r="L51" s="185"/>
      <c r="M51" s="184"/>
      <c r="N51" s="184"/>
      <c r="O51" s="184"/>
      <c r="P51" s="184"/>
      <c r="Q51" s="184"/>
    </row>
    <row r="52" spans="1:24" ht="12" customHeight="1" x14ac:dyDescent="0.2">
      <c r="A52" s="200" t="s">
        <v>163</v>
      </c>
      <c r="B52" s="199" t="s">
        <v>10</v>
      </c>
      <c r="C52" s="200">
        <v>200</v>
      </c>
      <c r="D52" s="201">
        <v>0</v>
      </c>
      <c r="E52" s="201">
        <v>0</v>
      </c>
      <c r="F52" s="201">
        <v>10</v>
      </c>
      <c r="G52" s="201">
        <v>42</v>
      </c>
      <c r="H52" s="212"/>
      <c r="I52" s="184"/>
      <c r="J52" s="184"/>
      <c r="K52" s="184"/>
      <c r="L52" s="185"/>
      <c r="M52" s="184"/>
      <c r="N52" s="184"/>
      <c r="O52" s="184"/>
      <c r="P52" s="184"/>
      <c r="Q52" s="184"/>
    </row>
    <row r="53" spans="1:24" x14ac:dyDescent="0.2">
      <c r="A53" s="221"/>
      <c r="B53" s="222" t="s">
        <v>234</v>
      </c>
      <c r="C53" s="221">
        <v>40</v>
      </c>
      <c r="D53" s="223">
        <v>3</v>
      </c>
      <c r="E53" s="223">
        <v>1</v>
      </c>
      <c r="F53" s="223">
        <v>21</v>
      </c>
      <c r="G53" s="223">
        <v>105</v>
      </c>
      <c r="H53" s="212"/>
      <c r="I53" s="184"/>
      <c r="J53" s="184"/>
      <c r="K53" s="184"/>
      <c r="L53" s="184"/>
      <c r="M53" s="184"/>
      <c r="N53" s="184"/>
      <c r="O53" s="184"/>
      <c r="P53" s="184"/>
    </row>
    <row r="54" spans="1:24" x14ac:dyDescent="0.2">
      <c r="A54" s="221"/>
      <c r="B54" s="222" t="s">
        <v>241</v>
      </c>
      <c r="C54" s="221">
        <v>30</v>
      </c>
      <c r="D54" s="223">
        <v>1</v>
      </c>
      <c r="E54" s="223">
        <v>9</v>
      </c>
      <c r="F54" s="223">
        <v>19</v>
      </c>
      <c r="G54" s="223">
        <v>162</v>
      </c>
      <c r="H54" s="212"/>
      <c r="I54" s="184"/>
      <c r="J54" s="184"/>
      <c r="K54" s="184"/>
      <c r="L54" s="184"/>
      <c r="M54" s="184"/>
      <c r="N54" s="184"/>
      <c r="O54" s="184"/>
      <c r="P54" s="184"/>
    </row>
    <row r="55" spans="1:24" x14ac:dyDescent="0.2">
      <c r="A55" s="250" t="s">
        <v>217</v>
      </c>
      <c r="B55" s="251"/>
      <c r="C55" s="208">
        <v>500</v>
      </c>
      <c r="D55" s="207"/>
      <c r="E55" s="207"/>
      <c r="F55" s="207"/>
      <c r="G55" s="207"/>
      <c r="H55" s="211"/>
    </row>
    <row r="56" spans="1:24" ht="27.95" customHeight="1" x14ac:dyDescent="0.2">
      <c r="A56" s="246" t="s">
        <v>64</v>
      </c>
      <c r="B56" s="247"/>
      <c r="C56" s="248"/>
      <c r="D56" s="205">
        <f>D57</f>
        <v>16.55</v>
      </c>
      <c r="E56" s="205">
        <f>E57</f>
        <v>37.79</v>
      </c>
      <c r="F56" s="205">
        <f>F57</f>
        <v>71.44</v>
      </c>
      <c r="G56" s="205">
        <f>G57</f>
        <v>696.61</v>
      </c>
      <c r="H56" s="211"/>
    </row>
    <row r="57" spans="1:24" x14ac:dyDescent="0.2">
      <c r="A57" s="234"/>
      <c r="B57" s="235" t="s">
        <v>243</v>
      </c>
      <c r="C57" s="234"/>
      <c r="D57" s="205">
        <f>D58+D59+D60+D61</f>
        <v>16.55</v>
      </c>
      <c r="E57" s="205">
        <f t="shared" ref="E57:G57" si="7">E58+E59+E60+E61</f>
        <v>37.79</v>
      </c>
      <c r="F57" s="205">
        <f t="shared" si="7"/>
        <v>71.44</v>
      </c>
      <c r="G57" s="205">
        <f t="shared" si="7"/>
        <v>696.61</v>
      </c>
      <c r="H57" s="211"/>
    </row>
    <row r="58" spans="1:24" x14ac:dyDescent="0.2">
      <c r="A58" s="204" t="s">
        <v>227</v>
      </c>
      <c r="B58" s="199" t="s">
        <v>228</v>
      </c>
      <c r="C58" s="204">
        <v>60</v>
      </c>
      <c r="D58" s="194">
        <v>0.48</v>
      </c>
      <c r="E58" s="201">
        <v>0</v>
      </c>
      <c r="F58" s="201">
        <v>1.02</v>
      </c>
      <c r="G58" s="201">
        <v>6</v>
      </c>
      <c r="H58" s="211"/>
    </row>
    <row r="59" spans="1:24" ht="13.5" customHeight="1" x14ac:dyDescent="0.2">
      <c r="A59" s="204" t="s">
        <v>220</v>
      </c>
      <c r="B59" s="199" t="s">
        <v>221</v>
      </c>
      <c r="C59" s="204" t="s">
        <v>231</v>
      </c>
      <c r="D59" s="201">
        <v>11.11</v>
      </c>
      <c r="E59" s="201">
        <v>37.36</v>
      </c>
      <c r="F59" s="201">
        <v>20.89</v>
      </c>
      <c r="G59" s="201">
        <v>464.18</v>
      </c>
      <c r="H59" s="196"/>
      <c r="I59" s="186"/>
      <c r="J59" s="186"/>
      <c r="K59" s="186"/>
      <c r="L59" s="186"/>
      <c r="M59" s="186"/>
      <c r="N59" s="186"/>
      <c r="O59" s="186"/>
      <c r="P59" s="186"/>
      <c r="Q59" s="186"/>
      <c r="R59" s="186"/>
      <c r="S59" s="186"/>
      <c r="T59" s="186"/>
      <c r="U59" s="186"/>
      <c r="V59" s="186"/>
      <c r="W59" s="186"/>
      <c r="X59" s="186"/>
    </row>
    <row r="60" spans="1:24" ht="14.25" customHeight="1" x14ac:dyDescent="0.2">
      <c r="A60" s="198" t="s">
        <v>224</v>
      </c>
      <c r="B60" s="206" t="s">
        <v>229</v>
      </c>
      <c r="C60" s="204">
        <v>200</v>
      </c>
      <c r="D60" s="201">
        <v>1.92</v>
      </c>
      <c r="E60" s="201">
        <v>0.11</v>
      </c>
      <c r="F60" s="201">
        <v>29.85</v>
      </c>
      <c r="G60" s="201">
        <v>128.09</v>
      </c>
      <c r="H60" s="213"/>
      <c r="I60" s="186"/>
      <c r="J60" s="186"/>
      <c r="K60" s="182"/>
      <c r="L60" s="186"/>
      <c r="M60" s="186"/>
      <c r="N60" s="182"/>
      <c r="O60" s="186"/>
      <c r="P60" s="186"/>
      <c r="Q60" s="186"/>
      <c r="R60" s="186"/>
      <c r="S60" s="186"/>
      <c r="T60" s="186"/>
      <c r="U60" s="186"/>
      <c r="V60" s="186"/>
      <c r="W60" s="186"/>
      <c r="X60" s="186"/>
    </row>
    <row r="61" spans="1:24" ht="14.25" customHeight="1" x14ac:dyDescent="0.2">
      <c r="A61" s="204"/>
      <c r="B61" s="199" t="s">
        <v>11</v>
      </c>
      <c r="C61" s="204">
        <v>40</v>
      </c>
      <c r="D61" s="201">
        <v>3.04</v>
      </c>
      <c r="E61" s="201">
        <v>0.32</v>
      </c>
      <c r="F61" s="201">
        <v>19.68</v>
      </c>
      <c r="G61" s="201">
        <v>98.34</v>
      </c>
      <c r="H61" s="213"/>
      <c r="I61" s="186"/>
      <c r="J61" s="186"/>
      <c r="K61" s="182"/>
      <c r="L61" s="186"/>
      <c r="M61" s="186"/>
      <c r="N61" s="182"/>
      <c r="O61" s="186"/>
      <c r="P61" s="186"/>
      <c r="Q61" s="186"/>
      <c r="R61" s="186"/>
      <c r="S61" s="186"/>
      <c r="T61" s="186"/>
      <c r="U61" s="186"/>
      <c r="V61" s="186"/>
      <c r="W61" s="186"/>
      <c r="X61" s="186"/>
    </row>
    <row r="62" spans="1:24" ht="17.25" customHeight="1" x14ac:dyDescent="0.2">
      <c r="A62" s="250" t="s">
        <v>217</v>
      </c>
      <c r="B62" s="251"/>
      <c r="C62" s="208">
        <v>500</v>
      </c>
      <c r="D62" s="207"/>
      <c r="E62" s="207"/>
      <c r="F62" s="207"/>
      <c r="G62" s="207"/>
      <c r="H62" s="213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</row>
    <row r="63" spans="1:24" ht="27.95" customHeight="1" x14ac:dyDescent="0.2">
      <c r="A63" s="249" t="s">
        <v>214</v>
      </c>
      <c r="B63" s="249"/>
      <c r="C63" s="249"/>
      <c r="D63" s="205">
        <f>D65+D66+D67+D68+D69</f>
        <v>18.61</v>
      </c>
      <c r="E63" s="205">
        <f t="shared" ref="E63:G63" si="8">E65+E66+E67+E68+E69</f>
        <v>21.89</v>
      </c>
      <c r="F63" s="205">
        <f t="shared" si="8"/>
        <v>116.81</v>
      </c>
      <c r="G63" s="205">
        <f t="shared" si="8"/>
        <v>744.22</v>
      </c>
      <c r="H63" s="211"/>
    </row>
    <row r="64" spans="1:24" ht="10.5" customHeight="1" x14ac:dyDescent="0.2">
      <c r="A64" s="234"/>
      <c r="B64" s="235" t="s">
        <v>243</v>
      </c>
      <c r="C64" s="234"/>
      <c r="D64" s="205">
        <v>19.84</v>
      </c>
      <c r="E64" s="205">
        <v>40.119999999999997</v>
      </c>
      <c r="F64" s="205">
        <v>117.22</v>
      </c>
      <c r="G64" s="205">
        <v>925.86</v>
      </c>
      <c r="H64" s="211"/>
    </row>
    <row r="65" spans="1:25" ht="12.75" customHeight="1" x14ac:dyDescent="0.2">
      <c r="A65" s="204" t="s">
        <v>160</v>
      </c>
      <c r="B65" s="199" t="s">
        <v>135</v>
      </c>
      <c r="C65" s="204">
        <v>10</v>
      </c>
      <c r="D65" s="201">
        <v>0.1</v>
      </c>
      <c r="E65" s="201">
        <v>7.26</v>
      </c>
      <c r="F65" s="201">
        <v>0.14000000000000001</v>
      </c>
      <c r="G65" s="201">
        <v>66.22</v>
      </c>
      <c r="H65" s="211"/>
      <c r="I65" s="196"/>
      <c r="J65" s="214"/>
      <c r="K65" s="196"/>
      <c r="L65" s="194"/>
      <c r="M65" s="194"/>
      <c r="N65" s="194"/>
      <c r="O65" s="194"/>
      <c r="P65" s="211"/>
    </row>
    <row r="66" spans="1:25" x14ac:dyDescent="0.2">
      <c r="A66" s="204" t="s">
        <v>239</v>
      </c>
      <c r="B66" s="199" t="s">
        <v>237</v>
      </c>
      <c r="C66" s="204" t="s">
        <v>238</v>
      </c>
      <c r="D66" s="201">
        <v>10.15</v>
      </c>
      <c r="E66" s="201">
        <v>8.61</v>
      </c>
      <c r="F66" s="201">
        <v>48.39</v>
      </c>
      <c r="G66" s="201">
        <v>311.63</v>
      </c>
      <c r="H66" s="211"/>
      <c r="I66" s="202"/>
      <c r="J66" s="214"/>
      <c r="K66" s="196"/>
      <c r="L66" s="194"/>
      <c r="M66" s="194"/>
      <c r="N66" s="194"/>
      <c r="O66" s="194"/>
      <c r="P66" s="211"/>
    </row>
    <row r="67" spans="1:25" x14ac:dyDescent="0.2">
      <c r="A67" s="221" t="s">
        <v>164</v>
      </c>
      <c r="B67" s="222" t="s">
        <v>51</v>
      </c>
      <c r="C67" s="221">
        <v>200</v>
      </c>
      <c r="D67" s="223">
        <v>1.99</v>
      </c>
      <c r="E67" s="223">
        <v>1.7</v>
      </c>
      <c r="F67" s="223">
        <v>18.600000000000001</v>
      </c>
      <c r="G67" s="223">
        <v>102.03</v>
      </c>
      <c r="H67" s="211"/>
      <c r="I67" s="202"/>
      <c r="J67" s="214"/>
      <c r="K67" s="203"/>
      <c r="L67" s="194"/>
      <c r="M67" s="194"/>
      <c r="N67" s="194"/>
      <c r="O67" s="194"/>
      <c r="P67" s="211"/>
    </row>
    <row r="68" spans="1:25" x14ac:dyDescent="0.2">
      <c r="A68" s="204"/>
      <c r="B68" s="199" t="s">
        <v>11</v>
      </c>
      <c r="C68" s="204">
        <v>40</v>
      </c>
      <c r="D68" s="201">
        <v>3.04</v>
      </c>
      <c r="E68" s="201">
        <v>0.32</v>
      </c>
      <c r="F68" s="201">
        <v>19.68</v>
      </c>
      <c r="G68" s="201">
        <v>98.34</v>
      </c>
      <c r="H68" s="211"/>
      <c r="I68" s="196"/>
      <c r="J68" s="214"/>
      <c r="K68" s="196"/>
      <c r="L68" s="194"/>
      <c r="M68" s="194"/>
      <c r="N68" s="194"/>
      <c r="O68" s="194"/>
      <c r="P68" s="211"/>
    </row>
    <row r="69" spans="1:25" x14ac:dyDescent="0.2">
      <c r="A69" s="198"/>
      <c r="B69" s="199" t="s">
        <v>245</v>
      </c>
      <c r="C69" s="204">
        <v>40</v>
      </c>
      <c r="D69" s="201">
        <v>3.33</v>
      </c>
      <c r="E69" s="201">
        <v>4</v>
      </c>
      <c r="F69" s="201">
        <v>30</v>
      </c>
      <c r="G69" s="201">
        <v>166</v>
      </c>
      <c r="H69" s="220"/>
      <c r="I69" s="194"/>
      <c r="J69" s="194"/>
      <c r="K69" s="194"/>
      <c r="L69" s="194"/>
    </row>
    <row r="70" spans="1:25" x14ac:dyDescent="0.2">
      <c r="A70" s="198"/>
      <c r="B70" s="216" t="s">
        <v>217</v>
      </c>
      <c r="C70" s="234">
        <v>500</v>
      </c>
      <c r="D70" s="201"/>
      <c r="E70" s="201"/>
      <c r="F70" s="201"/>
      <c r="G70" s="201"/>
      <c r="H70" s="211"/>
    </row>
    <row r="71" spans="1:25" ht="26.25" customHeight="1" x14ac:dyDescent="0.2">
      <c r="A71" s="249" t="s">
        <v>215</v>
      </c>
      <c r="B71" s="249"/>
      <c r="C71" s="249"/>
      <c r="D71" s="205">
        <f>D72</f>
        <v>21.7</v>
      </c>
      <c r="E71" s="205">
        <f>E72</f>
        <v>21.729999999999997</v>
      </c>
      <c r="F71" s="205">
        <f>F72</f>
        <v>73.099999999999994</v>
      </c>
      <c r="G71" s="205">
        <f>G72</f>
        <v>583.23</v>
      </c>
      <c r="H71" s="211"/>
    </row>
    <row r="72" spans="1:25" x14ac:dyDescent="0.2">
      <c r="A72" s="234"/>
      <c r="B72" s="235" t="s">
        <v>66</v>
      </c>
      <c r="C72" s="234"/>
      <c r="D72" s="205">
        <f>D73+D74+D75+D76</f>
        <v>21.7</v>
      </c>
      <c r="E72" s="205">
        <f t="shared" ref="E72:G72" si="9">E73+E74+E75+E76</f>
        <v>21.729999999999997</v>
      </c>
      <c r="F72" s="205">
        <f t="shared" si="9"/>
        <v>73.099999999999994</v>
      </c>
      <c r="G72" s="205">
        <f t="shared" si="9"/>
        <v>583.23</v>
      </c>
      <c r="H72" s="211"/>
    </row>
    <row r="73" spans="1:25" x14ac:dyDescent="0.2">
      <c r="A73" s="204" t="s">
        <v>131</v>
      </c>
      <c r="B73" s="199" t="s">
        <v>141</v>
      </c>
      <c r="C73" s="204">
        <v>100</v>
      </c>
      <c r="D73" s="201">
        <v>12.12</v>
      </c>
      <c r="E73" s="201">
        <v>16.329999999999998</v>
      </c>
      <c r="F73" s="201">
        <v>15.67</v>
      </c>
      <c r="G73" s="201">
        <v>258.14999999999998</v>
      </c>
      <c r="H73" s="211"/>
    </row>
    <row r="74" spans="1:25" x14ac:dyDescent="0.2">
      <c r="A74" s="198" t="s">
        <v>223</v>
      </c>
      <c r="B74" s="199" t="s">
        <v>222</v>
      </c>
      <c r="C74" s="204">
        <v>150</v>
      </c>
      <c r="D74" s="201">
        <v>4.63</v>
      </c>
      <c r="E74" s="201">
        <v>5</v>
      </c>
      <c r="F74" s="201">
        <v>20.8</v>
      </c>
      <c r="G74" s="201">
        <v>146.75</v>
      </c>
      <c r="H74" s="211"/>
    </row>
    <row r="75" spans="1:25" ht="25.5" x14ac:dyDescent="0.2">
      <c r="A75" s="204" t="s">
        <v>42</v>
      </c>
      <c r="B75" s="199" t="s">
        <v>244</v>
      </c>
      <c r="C75" s="204">
        <v>200</v>
      </c>
      <c r="D75" s="201">
        <v>1.1499999999999999</v>
      </c>
      <c r="E75" s="201">
        <v>0</v>
      </c>
      <c r="F75" s="201">
        <v>12.03</v>
      </c>
      <c r="G75" s="201">
        <v>55.4</v>
      </c>
      <c r="H75" s="211"/>
    </row>
    <row r="76" spans="1:25" x14ac:dyDescent="0.2">
      <c r="A76" s="204"/>
      <c r="B76" s="199" t="s">
        <v>11</v>
      </c>
      <c r="C76" s="204">
        <v>50</v>
      </c>
      <c r="D76" s="201">
        <v>3.8</v>
      </c>
      <c r="E76" s="201">
        <v>0.4</v>
      </c>
      <c r="F76" s="201">
        <v>24.6</v>
      </c>
      <c r="G76" s="201">
        <v>122.93</v>
      </c>
      <c r="H76" s="211"/>
    </row>
    <row r="77" spans="1:25" x14ac:dyDescent="0.2">
      <c r="A77" s="250" t="s">
        <v>217</v>
      </c>
      <c r="B77" s="251"/>
      <c r="C77" s="234">
        <v>500</v>
      </c>
      <c r="D77" s="201"/>
      <c r="E77" s="201"/>
      <c r="F77" s="201"/>
      <c r="G77" s="201"/>
      <c r="H77" s="211"/>
    </row>
    <row r="78" spans="1:25" ht="27.95" customHeight="1" x14ac:dyDescent="0.2">
      <c r="A78" s="249" t="s">
        <v>216</v>
      </c>
      <c r="B78" s="249"/>
      <c r="C78" s="249"/>
      <c r="D78" s="205">
        <f>D79</f>
        <v>26.119999999999997</v>
      </c>
      <c r="E78" s="205">
        <f>E79</f>
        <v>9.620000000000001</v>
      </c>
      <c r="F78" s="205">
        <f>F79</f>
        <v>108.18</v>
      </c>
      <c r="G78" s="205">
        <f>G79</f>
        <v>633.1</v>
      </c>
      <c r="H78" s="215"/>
      <c r="I78" s="188"/>
      <c r="J78" s="188"/>
      <c r="K78" s="188"/>
      <c r="L78" s="188"/>
      <c r="M78" s="188"/>
      <c r="N78" s="188"/>
      <c r="O78" s="188"/>
      <c r="P78" s="188"/>
      <c r="Q78" s="188"/>
      <c r="R78" s="188"/>
      <c r="S78" s="188"/>
      <c r="T78" s="188"/>
      <c r="U78" s="188"/>
      <c r="V78" s="188"/>
      <c r="W78" s="188"/>
      <c r="X78" s="188"/>
      <c r="Y78" s="189"/>
    </row>
    <row r="79" spans="1:25" x14ac:dyDescent="0.2">
      <c r="A79" s="234"/>
      <c r="B79" s="235" t="s">
        <v>243</v>
      </c>
      <c r="C79" s="234"/>
      <c r="D79" s="205">
        <f>D80+D81+D82+D83</f>
        <v>26.119999999999997</v>
      </c>
      <c r="E79" s="205">
        <f t="shared" ref="E79:G79" si="10">E80+E81+E82+E83</f>
        <v>9.620000000000001</v>
      </c>
      <c r="F79" s="205">
        <f t="shared" si="10"/>
        <v>108.18</v>
      </c>
      <c r="G79" s="205">
        <f t="shared" si="10"/>
        <v>633.1</v>
      </c>
      <c r="H79" s="215"/>
      <c r="I79" s="188"/>
      <c r="J79" s="188"/>
      <c r="K79" s="188"/>
      <c r="L79" s="188"/>
      <c r="M79" s="188"/>
      <c r="N79" s="188"/>
      <c r="O79" s="188"/>
      <c r="P79" s="188"/>
      <c r="Q79" s="188"/>
      <c r="R79" s="188"/>
      <c r="S79" s="188"/>
      <c r="T79" s="188"/>
      <c r="U79" s="188"/>
      <c r="V79" s="188"/>
      <c r="W79" s="188"/>
      <c r="X79" s="188"/>
      <c r="Y79" s="189"/>
    </row>
    <row r="80" spans="1:25" x14ac:dyDescent="0.2">
      <c r="A80" s="198"/>
      <c r="B80" s="199" t="s">
        <v>242</v>
      </c>
      <c r="C80" s="204" t="s">
        <v>260</v>
      </c>
      <c r="D80" s="201">
        <v>0.4</v>
      </c>
      <c r="E80" s="201">
        <v>0.4</v>
      </c>
      <c r="F80" s="201">
        <v>9.8000000000000007</v>
      </c>
      <c r="G80" s="201">
        <v>47</v>
      </c>
      <c r="H80" s="215"/>
      <c r="I80" s="188"/>
      <c r="J80" s="188"/>
      <c r="K80" s="188"/>
      <c r="L80" s="188"/>
      <c r="M80" s="188"/>
      <c r="N80" s="188"/>
      <c r="O80" s="188"/>
      <c r="P80" s="188"/>
      <c r="Q80" s="188"/>
      <c r="R80" s="188"/>
      <c r="S80" s="188"/>
      <c r="T80" s="188"/>
      <c r="U80" s="188"/>
      <c r="V80" s="188"/>
      <c r="W80" s="188"/>
      <c r="X80" s="188"/>
      <c r="Y80" s="189"/>
    </row>
    <row r="81" spans="1:24" ht="25.5" x14ac:dyDescent="0.2">
      <c r="A81" s="229" t="s">
        <v>248</v>
      </c>
      <c r="B81" s="230" t="s">
        <v>247</v>
      </c>
      <c r="C81" s="229" t="s">
        <v>236</v>
      </c>
      <c r="D81" s="231">
        <v>22.68</v>
      </c>
      <c r="E81" s="231">
        <v>8.9</v>
      </c>
      <c r="F81" s="231">
        <v>68.7</v>
      </c>
      <c r="G81" s="231">
        <v>445.76</v>
      </c>
      <c r="H81" s="196"/>
      <c r="I81" s="186"/>
      <c r="J81" s="186"/>
      <c r="K81" s="186"/>
      <c r="L81" s="186"/>
      <c r="M81" s="186"/>
      <c r="N81" s="182"/>
      <c r="O81" s="186"/>
      <c r="P81" s="186"/>
      <c r="Q81" s="186"/>
      <c r="R81" s="186"/>
      <c r="S81" s="186"/>
      <c r="T81" s="186"/>
      <c r="U81" s="186"/>
      <c r="V81" s="186"/>
      <c r="W81" s="186"/>
      <c r="X81" s="186"/>
    </row>
    <row r="82" spans="1:24" x14ac:dyDescent="0.2">
      <c r="A82" s="198" t="s">
        <v>163</v>
      </c>
      <c r="B82" s="199" t="s">
        <v>10</v>
      </c>
      <c r="C82" s="200">
        <v>200</v>
      </c>
      <c r="D82" s="201">
        <v>0</v>
      </c>
      <c r="E82" s="201">
        <v>0</v>
      </c>
      <c r="F82" s="201">
        <v>10</v>
      </c>
      <c r="G82" s="201">
        <v>42</v>
      </c>
      <c r="H82" s="211"/>
      <c r="I82" s="186"/>
      <c r="J82" s="186"/>
      <c r="K82" s="186"/>
      <c r="L82" s="182"/>
      <c r="M82" s="182"/>
      <c r="N82" s="186"/>
      <c r="O82" s="186"/>
      <c r="P82" s="186"/>
      <c r="Q82" s="186"/>
      <c r="R82" s="186"/>
      <c r="S82" s="186"/>
      <c r="T82" s="186"/>
      <c r="U82" s="186"/>
      <c r="V82" s="186"/>
      <c r="W82" s="186"/>
      <c r="X82" s="186"/>
    </row>
    <row r="83" spans="1:24" x14ac:dyDescent="0.2">
      <c r="A83" s="198"/>
      <c r="B83" s="199" t="s">
        <v>11</v>
      </c>
      <c r="C83" s="204">
        <v>40</v>
      </c>
      <c r="D83" s="201">
        <v>3.04</v>
      </c>
      <c r="E83" s="201">
        <v>0.32</v>
      </c>
      <c r="F83" s="201">
        <v>19.68</v>
      </c>
      <c r="G83" s="201">
        <v>98.34</v>
      </c>
      <c r="H83" s="196"/>
      <c r="I83" s="186"/>
      <c r="J83" s="186"/>
      <c r="K83" s="186"/>
      <c r="L83" s="186"/>
      <c r="M83" s="186"/>
      <c r="N83" s="182"/>
      <c r="O83" s="182"/>
      <c r="P83" s="182"/>
      <c r="Q83" s="182"/>
      <c r="R83" s="182"/>
      <c r="S83" s="182"/>
      <c r="T83" s="182"/>
      <c r="U83" s="186"/>
      <c r="V83" s="182"/>
      <c r="W83" s="182"/>
      <c r="X83" s="186"/>
    </row>
    <row r="84" spans="1:24" x14ac:dyDescent="0.2">
      <c r="A84" s="250" t="s">
        <v>217</v>
      </c>
      <c r="B84" s="251"/>
      <c r="C84" s="210">
        <v>530</v>
      </c>
      <c r="D84" s="204"/>
      <c r="E84" s="204"/>
      <c r="F84" s="204"/>
      <c r="G84" s="204"/>
      <c r="H84" s="218"/>
      <c r="I84" s="190"/>
      <c r="J84" s="190"/>
      <c r="K84" s="190"/>
      <c r="L84" s="192"/>
      <c r="M84" s="192"/>
      <c r="N84" s="191"/>
      <c r="O84" s="191"/>
      <c r="P84" s="191"/>
      <c r="Q84" s="191"/>
      <c r="R84" s="191"/>
      <c r="S84" s="191"/>
      <c r="T84" s="191"/>
      <c r="U84" s="192"/>
      <c r="V84" s="191"/>
      <c r="W84" s="191"/>
      <c r="X84" s="192"/>
    </row>
    <row r="85" spans="1:24" x14ac:dyDescent="0.2">
      <c r="A85" s="196"/>
      <c r="B85" s="219"/>
      <c r="C85" s="196"/>
      <c r="D85" s="196"/>
      <c r="E85" s="196"/>
      <c r="F85" s="196"/>
      <c r="G85" s="196"/>
      <c r="H85" s="211"/>
    </row>
    <row r="86" spans="1:24" x14ac:dyDescent="0.2">
      <c r="A86" s="196"/>
      <c r="B86" s="219"/>
      <c r="C86" s="196"/>
      <c r="D86" s="196"/>
      <c r="E86" s="196"/>
      <c r="F86" s="196"/>
      <c r="G86" s="196"/>
      <c r="H86" s="211"/>
    </row>
    <row r="87" spans="1:24" x14ac:dyDescent="0.2">
      <c r="A87" s="196"/>
      <c r="B87" s="219"/>
      <c r="C87" s="196"/>
      <c r="D87" s="196"/>
      <c r="E87" s="196"/>
      <c r="F87" s="196"/>
      <c r="G87" s="196"/>
    </row>
    <row r="88" spans="1:24" x14ac:dyDescent="0.2">
      <c r="A88" s="196"/>
      <c r="B88" s="219"/>
      <c r="C88" s="196"/>
      <c r="D88" s="196"/>
      <c r="E88" s="196"/>
      <c r="F88" s="196"/>
      <c r="G88" s="196"/>
    </row>
    <row r="89" spans="1:24" x14ac:dyDescent="0.2">
      <c r="A89" s="196"/>
      <c r="B89" s="219"/>
      <c r="C89" s="196"/>
      <c r="D89" s="196"/>
      <c r="E89" s="196"/>
      <c r="F89" s="196"/>
      <c r="G89" s="196"/>
    </row>
    <row r="90" spans="1:24" x14ac:dyDescent="0.2">
      <c r="A90" s="196"/>
      <c r="B90" s="219"/>
      <c r="C90" s="196"/>
      <c r="D90" s="196"/>
      <c r="E90" s="196"/>
      <c r="F90" s="196"/>
      <c r="G90" s="196"/>
    </row>
    <row r="91" spans="1:24" x14ac:dyDescent="0.2">
      <c r="A91" s="196"/>
      <c r="B91" s="219"/>
      <c r="C91" s="196"/>
      <c r="D91" s="196"/>
      <c r="E91" s="196"/>
      <c r="F91" s="196"/>
      <c r="G91" s="196"/>
    </row>
    <row r="92" spans="1:24" x14ac:dyDescent="0.2">
      <c r="A92" s="196"/>
      <c r="B92" s="219"/>
      <c r="C92" s="196"/>
      <c r="D92" s="196"/>
      <c r="E92" s="196"/>
      <c r="F92" s="196"/>
      <c r="G92" s="196"/>
    </row>
    <row r="93" spans="1:24" x14ac:dyDescent="0.2">
      <c r="A93" s="196"/>
      <c r="B93" s="219"/>
      <c r="C93" s="196"/>
      <c r="D93" s="196"/>
      <c r="E93" s="196"/>
      <c r="F93" s="196"/>
      <c r="G93" s="196"/>
    </row>
    <row r="94" spans="1:24" x14ac:dyDescent="0.2">
      <c r="A94" s="196"/>
      <c r="B94" s="219"/>
      <c r="C94" s="196"/>
      <c r="D94" s="196"/>
      <c r="E94" s="196"/>
      <c r="F94" s="196"/>
      <c r="G94" s="196"/>
    </row>
    <row r="95" spans="1:24" x14ac:dyDescent="0.2">
      <c r="A95" s="196"/>
      <c r="B95" s="219"/>
      <c r="C95" s="196"/>
      <c r="D95" s="196"/>
      <c r="E95" s="196"/>
      <c r="F95" s="196"/>
      <c r="G95" s="196"/>
    </row>
    <row r="96" spans="1:24" x14ac:dyDescent="0.2">
      <c r="A96" s="196"/>
      <c r="B96" s="219"/>
      <c r="C96" s="196"/>
      <c r="D96" s="196"/>
      <c r="E96" s="196"/>
      <c r="F96" s="196"/>
      <c r="G96" s="196"/>
    </row>
    <row r="97" spans="1:7" x14ac:dyDescent="0.2">
      <c r="A97" s="196"/>
      <c r="B97" s="219"/>
      <c r="C97" s="196"/>
      <c r="D97" s="196"/>
      <c r="E97" s="196"/>
      <c r="F97" s="196"/>
      <c r="G97" s="196"/>
    </row>
    <row r="98" spans="1:7" x14ac:dyDescent="0.2">
      <c r="A98" s="196"/>
      <c r="B98" s="219"/>
      <c r="C98" s="196"/>
      <c r="D98" s="196"/>
      <c r="E98" s="196"/>
      <c r="F98" s="196"/>
      <c r="G98" s="196"/>
    </row>
    <row r="99" spans="1:7" x14ac:dyDescent="0.2">
      <c r="A99" s="196"/>
      <c r="B99" s="219"/>
      <c r="C99" s="196"/>
      <c r="D99" s="196"/>
      <c r="E99" s="196"/>
      <c r="F99" s="196"/>
      <c r="G99" s="196"/>
    </row>
    <row r="100" spans="1:7" x14ac:dyDescent="0.2">
      <c r="A100" s="196"/>
      <c r="B100" s="219"/>
      <c r="C100" s="196"/>
      <c r="D100" s="196"/>
      <c r="E100" s="196"/>
      <c r="F100" s="196"/>
      <c r="G100" s="196"/>
    </row>
    <row r="101" spans="1:7" x14ac:dyDescent="0.2">
      <c r="A101" s="196"/>
      <c r="B101" s="219"/>
      <c r="C101" s="196"/>
      <c r="D101" s="196"/>
      <c r="E101" s="196"/>
      <c r="F101" s="196"/>
      <c r="G101" s="196"/>
    </row>
    <row r="102" spans="1:7" x14ac:dyDescent="0.2">
      <c r="A102" s="196"/>
      <c r="B102" s="219"/>
      <c r="C102" s="196"/>
      <c r="D102" s="196"/>
      <c r="E102" s="196"/>
      <c r="F102" s="196"/>
      <c r="G102" s="196"/>
    </row>
    <row r="103" spans="1:7" x14ac:dyDescent="0.2">
      <c r="A103" s="196"/>
      <c r="B103" s="219"/>
      <c r="C103" s="196"/>
      <c r="D103" s="196"/>
      <c r="E103" s="196"/>
      <c r="F103" s="196"/>
      <c r="G103" s="196"/>
    </row>
    <row r="104" spans="1:7" x14ac:dyDescent="0.2">
      <c r="A104" s="196"/>
      <c r="B104" s="219"/>
      <c r="C104" s="196"/>
      <c r="D104" s="196"/>
      <c r="E104" s="196"/>
      <c r="F104" s="196"/>
      <c r="G104" s="196"/>
    </row>
    <row r="105" spans="1:7" x14ac:dyDescent="0.2">
      <c r="A105" s="196"/>
      <c r="B105" s="219"/>
      <c r="C105" s="196"/>
      <c r="D105" s="196"/>
      <c r="E105" s="196"/>
      <c r="F105" s="196"/>
      <c r="G105" s="196"/>
    </row>
    <row r="106" spans="1:7" x14ac:dyDescent="0.2">
      <c r="A106" s="196"/>
      <c r="B106" s="219"/>
      <c r="C106" s="196"/>
      <c r="D106" s="196"/>
      <c r="E106" s="196"/>
      <c r="F106" s="196"/>
      <c r="G106" s="196"/>
    </row>
    <row r="107" spans="1:7" x14ac:dyDescent="0.2">
      <c r="A107" s="196"/>
      <c r="B107" s="219"/>
      <c r="C107" s="196"/>
      <c r="D107" s="196"/>
      <c r="E107" s="196"/>
      <c r="F107" s="196"/>
      <c r="G107" s="196"/>
    </row>
    <row r="108" spans="1:7" x14ac:dyDescent="0.2">
      <c r="A108" s="196"/>
      <c r="B108" s="219"/>
      <c r="C108" s="196"/>
      <c r="D108" s="196"/>
      <c r="E108" s="196"/>
      <c r="F108" s="196"/>
      <c r="G108" s="196"/>
    </row>
    <row r="109" spans="1:7" x14ac:dyDescent="0.2">
      <c r="A109" s="196"/>
      <c r="B109" s="219"/>
      <c r="C109" s="196"/>
      <c r="D109" s="196"/>
      <c r="E109" s="196"/>
      <c r="F109" s="196"/>
      <c r="G109" s="196"/>
    </row>
    <row r="110" spans="1:7" x14ac:dyDescent="0.2">
      <c r="A110" s="196"/>
      <c r="B110" s="219"/>
      <c r="C110" s="196"/>
      <c r="D110" s="196"/>
      <c r="E110" s="196"/>
      <c r="F110" s="196"/>
      <c r="G110" s="196"/>
    </row>
    <row r="111" spans="1:7" x14ac:dyDescent="0.2">
      <c r="A111" s="196"/>
      <c r="B111" s="219"/>
      <c r="C111" s="196"/>
      <c r="D111" s="196"/>
      <c r="E111" s="196"/>
      <c r="F111" s="196"/>
      <c r="G111" s="196"/>
    </row>
    <row r="112" spans="1:7" x14ac:dyDescent="0.2">
      <c r="A112" s="196"/>
      <c r="B112" s="219"/>
      <c r="C112" s="196"/>
      <c r="D112" s="196"/>
      <c r="E112" s="196"/>
      <c r="F112" s="196"/>
      <c r="G112" s="196"/>
    </row>
    <row r="113" spans="1:7" x14ac:dyDescent="0.2">
      <c r="A113" s="196"/>
      <c r="B113" s="219"/>
      <c r="C113" s="196"/>
      <c r="D113" s="196"/>
      <c r="E113" s="196"/>
      <c r="F113" s="196"/>
      <c r="G113" s="196"/>
    </row>
    <row r="114" spans="1:7" x14ac:dyDescent="0.2">
      <c r="A114" s="196"/>
      <c r="B114" s="219"/>
      <c r="C114" s="196"/>
      <c r="D114" s="196"/>
      <c r="E114" s="196"/>
      <c r="F114" s="196"/>
      <c r="G114" s="196"/>
    </row>
    <row r="115" spans="1:7" x14ac:dyDescent="0.2">
      <c r="A115" s="196"/>
      <c r="B115" s="219"/>
      <c r="C115" s="196"/>
      <c r="D115" s="196"/>
      <c r="E115" s="196"/>
      <c r="F115" s="196"/>
      <c r="G115" s="196"/>
    </row>
    <row r="116" spans="1:7" x14ac:dyDescent="0.2">
      <c r="A116" s="196"/>
      <c r="B116" s="219"/>
      <c r="C116" s="196"/>
      <c r="D116" s="196"/>
      <c r="E116" s="196"/>
      <c r="F116" s="196"/>
      <c r="G116" s="196"/>
    </row>
    <row r="117" spans="1:7" x14ac:dyDescent="0.2">
      <c r="A117" s="196"/>
      <c r="B117" s="219"/>
      <c r="C117" s="196"/>
      <c r="D117" s="196"/>
      <c r="E117" s="196"/>
      <c r="F117" s="196"/>
      <c r="G117" s="196"/>
    </row>
    <row r="118" spans="1:7" x14ac:dyDescent="0.2">
      <c r="A118" s="196"/>
      <c r="B118" s="219"/>
      <c r="C118" s="196"/>
      <c r="D118" s="196"/>
      <c r="E118" s="196"/>
      <c r="F118" s="196"/>
      <c r="G118" s="196"/>
    </row>
    <row r="119" spans="1:7" x14ac:dyDescent="0.2">
      <c r="A119" s="196"/>
      <c r="B119" s="219"/>
      <c r="C119" s="196"/>
      <c r="D119" s="196"/>
      <c r="E119" s="196"/>
      <c r="F119" s="196"/>
      <c r="G119" s="196"/>
    </row>
    <row r="120" spans="1:7" x14ac:dyDescent="0.2">
      <c r="A120" s="196"/>
      <c r="B120" s="219"/>
      <c r="C120" s="196"/>
      <c r="D120" s="196"/>
      <c r="E120" s="196"/>
      <c r="F120" s="196"/>
      <c r="G120" s="196"/>
    </row>
    <row r="121" spans="1:7" x14ac:dyDescent="0.2">
      <c r="A121" s="196"/>
      <c r="B121" s="219"/>
      <c r="C121" s="196"/>
      <c r="D121" s="196"/>
      <c r="E121" s="196"/>
      <c r="F121" s="196"/>
      <c r="G121" s="196"/>
    </row>
    <row r="122" spans="1:7" x14ac:dyDescent="0.2">
      <c r="A122" s="196"/>
      <c r="B122" s="219"/>
      <c r="C122" s="196"/>
      <c r="D122" s="196"/>
      <c r="E122" s="196"/>
      <c r="F122" s="196"/>
      <c r="G122" s="196"/>
    </row>
    <row r="123" spans="1:7" x14ac:dyDescent="0.2">
      <c r="A123" s="196"/>
      <c r="B123" s="219"/>
      <c r="C123" s="196"/>
      <c r="D123" s="196"/>
      <c r="E123" s="196"/>
      <c r="F123" s="196"/>
      <c r="G123" s="196"/>
    </row>
    <row r="124" spans="1:7" x14ac:dyDescent="0.2">
      <c r="A124" s="196"/>
      <c r="B124" s="219"/>
      <c r="C124" s="196"/>
      <c r="D124" s="196"/>
      <c r="E124" s="196"/>
      <c r="F124" s="196"/>
      <c r="G124" s="196"/>
    </row>
    <row r="125" spans="1:7" x14ac:dyDescent="0.2">
      <c r="A125" s="196"/>
      <c r="B125" s="219"/>
      <c r="C125" s="196"/>
      <c r="D125" s="196"/>
      <c r="E125" s="196"/>
      <c r="F125" s="196"/>
      <c r="G125" s="196"/>
    </row>
    <row r="126" spans="1:7" x14ac:dyDescent="0.2">
      <c r="A126" s="196"/>
      <c r="B126" s="219"/>
      <c r="C126" s="196"/>
      <c r="D126" s="196"/>
      <c r="E126" s="196"/>
      <c r="F126" s="196"/>
      <c r="G126" s="196"/>
    </row>
    <row r="127" spans="1:7" x14ac:dyDescent="0.2">
      <c r="A127" s="196"/>
      <c r="B127" s="219"/>
      <c r="C127" s="196"/>
      <c r="D127" s="196"/>
      <c r="E127" s="196"/>
      <c r="F127" s="196"/>
      <c r="G127" s="196"/>
    </row>
    <row r="128" spans="1:7" x14ac:dyDescent="0.2">
      <c r="A128" s="196"/>
      <c r="B128" s="219"/>
      <c r="C128" s="196"/>
      <c r="D128" s="196"/>
      <c r="E128" s="196"/>
      <c r="F128" s="196"/>
      <c r="G128" s="196"/>
    </row>
    <row r="129" spans="1:7" x14ac:dyDescent="0.2">
      <c r="A129" s="196"/>
      <c r="B129" s="219"/>
      <c r="C129" s="196"/>
      <c r="D129" s="196"/>
      <c r="E129" s="196"/>
      <c r="F129" s="196"/>
      <c r="G129" s="196"/>
    </row>
    <row r="130" spans="1:7" x14ac:dyDescent="0.2">
      <c r="A130" s="196"/>
      <c r="B130" s="219"/>
      <c r="C130" s="196"/>
      <c r="D130" s="196"/>
      <c r="E130" s="196"/>
      <c r="F130" s="196"/>
      <c r="G130" s="196"/>
    </row>
    <row r="131" spans="1:7" x14ac:dyDescent="0.2">
      <c r="A131" s="196"/>
      <c r="B131" s="219"/>
      <c r="C131" s="196"/>
      <c r="D131" s="196"/>
      <c r="E131" s="196"/>
      <c r="F131" s="196"/>
      <c r="G131" s="196"/>
    </row>
    <row r="132" spans="1:7" x14ac:dyDescent="0.2">
      <c r="A132" s="196"/>
      <c r="B132" s="219"/>
      <c r="C132" s="196"/>
      <c r="D132" s="196"/>
      <c r="E132" s="196"/>
      <c r="F132" s="196"/>
      <c r="G132" s="196"/>
    </row>
    <row r="133" spans="1:7" x14ac:dyDescent="0.2">
      <c r="A133" s="196"/>
      <c r="B133" s="219"/>
      <c r="C133" s="196"/>
      <c r="D133" s="196"/>
      <c r="E133" s="196"/>
      <c r="F133" s="196"/>
      <c r="G133" s="196"/>
    </row>
    <row r="134" spans="1:7" x14ac:dyDescent="0.2">
      <c r="A134" s="196"/>
      <c r="B134" s="219"/>
      <c r="C134" s="196"/>
      <c r="D134" s="196"/>
      <c r="E134" s="196"/>
      <c r="F134" s="196"/>
      <c r="G134" s="196"/>
    </row>
    <row r="135" spans="1:7" x14ac:dyDescent="0.2">
      <c r="A135" s="196"/>
      <c r="B135" s="219"/>
      <c r="C135" s="196"/>
      <c r="D135" s="196"/>
      <c r="E135" s="196"/>
      <c r="F135" s="196"/>
      <c r="G135" s="196"/>
    </row>
    <row r="136" spans="1:7" x14ac:dyDescent="0.2">
      <c r="A136" s="196"/>
      <c r="B136" s="219"/>
      <c r="C136" s="196"/>
      <c r="D136" s="196"/>
      <c r="E136" s="196"/>
      <c r="F136" s="196"/>
      <c r="G136" s="196"/>
    </row>
    <row r="137" spans="1:7" x14ac:dyDescent="0.2">
      <c r="A137" s="196"/>
      <c r="B137" s="219"/>
      <c r="C137" s="196"/>
      <c r="D137" s="196"/>
      <c r="E137" s="196"/>
      <c r="F137" s="196"/>
      <c r="G137" s="196"/>
    </row>
    <row r="138" spans="1:7" x14ac:dyDescent="0.2">
      <c r="A138" s="196"/>
      <c r="B138" s="219"/>
      <c r="C138" s="196"/>
      <c r="D138" s="196"/>
      <c r="E138" s="196"/>
      <c r="F138" s="196"/>
      <c r="G138" s="196"/>
    </row>
    <row r="139" spans="1:7" x14ac:dyDescent="0.2">
      <c r="A139" s="196"/>
      <c r="B139" s="219"/>
      <c r="C139" s="196"/>
      <c r="D139" s="196"/>
      <c r="E139" s="196"/>
      <c r="F139" s="196"/>
      <c r="G139" s="196"/>
    </row>
    <row r="140" spans="1:7" x14ac:dyDescent="0.2">
      <c r="A140" s="196"/>
      <c r="B140" s="219"/>
      <c r="C140" s="196"/>
      <c r="D140" s="196"/>
      <c r="E140" s="196"/>
      <c r="F140" s="196"/>
      <c r="G140" s="196"/>
    </row>
    <row r="141" spans="1:7" x14ac:dyDescent="0.2">
      <c r="A141" s="196"/>
      <c r="B141" s="219"/>
      <c r="C141" s="196"/>
      <c r="D141" s="196"/>
      <c r="E141" s="196"/>
      <c r="F141" s="196"/>
      <c r="G141" s="196"/>
    </row>
    <row r="142" spans="1:7" x14ac:dyDescent="0.2">
      <c r="A142" s="196"/>
      <c r="B142" s="219"/>
      <c r="C142" s="196"/>
      <c r="D142" s="196"/>
      <c r="E142" s="196"/>
      <c r="F142" s="196"/>
      <c r="G142" s="196"/>
    </row>
    <row r="143" spans="1:7" x14ac:dyDescent="0.2">
      <c r="A143" s="196"/>
      <c r="B143" s="219"/>
      <c r="C143" s="196"/>
      <c r="D143" s="196"/>
      <c r="E143" s="196"/>
      <c r="F143" s="196"/>
      <c r="G143" s="196"/>
    </row>
    <row r="144" spans="1:7" x14ac:dyDescent="0.2">
      <c r="A144" s="196"/>
      <c r="B144" s="219"/>
      <c r="C144" s="196"/>
      <c r="D144" s="196"/>
      <c r="E144" s="196"/>
      <c r="F144" s="196"/>
      <c r="G144" s="196"/>
    </row>
    <row r="145" spans="1:7" x14ac:dyDescent="0.2">
      <c r="A145" s="196"/>
      <c r="B145" s="219"/>
      <c r="C145" s="196"/>
      <c r="D145" s="196"/>
      <c r="E145" s="196"/>
      <c r="F145" s="196"/>
      <c r="G145" s="196"/>
    </row>
    <row r="146" spans="1:7" x14ac:dyDescent="0.2">
      <c r="A146" s="196"/>
      <c r="B146" s="219"/>
      <c r="C146" s="196"/>
      <c r="D146" s="196"/>
      <c r="E146" s="196"/>
      <c r="F146" s="196"/>
      <c r="G146" s="196"/>
    </row>
    <row r="147" spans="1:7" x14ac:dyDescent="0.2">
      <c r="A147" s="196"/>
      <c r="B147" s="219"/>
      <c r="C147" s="196"/>
      <c r="D147" s="196"/>
      <c r="E147" s="196"/>
      <c r="F147" s="196"/>
      <c r="G147" s="196"/>
    </row>
    <row r="148" spans="1:7" x14ac:dyDescent="0.2">
      <c r="A148" s="196"/>
      <c r="B148" s="219"/>
      <c r="C148" s="196"/>
      <c r="D148" s="196"/>
      <c r="E148" s="196"/>
      <c r="F148" s="196"/>
      <c r="G148" s="196"/>
    </row>
    <row r="149" spans="1:7" x14ac:dyDescent="0.2">
      <c r="A149" s="196"/>
      <c r="B149" s="219"/>
      <c r="C149" s="196"/>
      <c r="D149" s="196"/>
      <c r="E149" s="196"/>
      <c r="F149" s="196"/>
      <c r="G149" s="196"/>
    </row>
    <row r="150" spans="1:7" x14ac:dyDescent="0.2">
      <c r="A150" s="196"/>
      <c r="B150" s="219"/>
      <c r="C150" s="196"/>
      <c r="D150" s="196"/>
      <c r="E150" s="196"/>
      <c r="F150" s="196"/>
      <c r="G150" s="196"/>
    </row>
    <row r="151" spans="1:7" x14ac:dyDescent="0.2">
      <c r="A151" s="196"/>
      <c r="B151" s="219"/>
      <c r="C151" s="196"/>
      <c r="D151" s="196"/>
      <c r="E151" s="196"/>
      <c r="F151" s="196"/>
      <c r="G151" s="196"/>
    </row>
    <row r="152" spans="1:7" x14ac:dyDescent="0.2">
      <c r="A152" s="196"/>
      <c r="B152" s="219"/>
      <c r="C152" s="196"/>
      <c r="D152" s="196"/>
      <c r="E152" s="196"/>
      <c r="F152" s="196"/>
      <c r="G152" s="196"/>
    </row>
    <row r="153" spans="1:7" x14ac:dyDescent="0.2">
      <c r="A153" s="196"/>
      <c r="B153" s="219"/>
      <c r="C153" s="196"/>
      <c r="D153" s="196"/>
      <c r="E153" s="196"/>
      <c r="F153" s="196"/>
      <c r="G153" s="196"/>
    </row>
    <row r="154" spans="1:7" x14ac:dyDescent="0.2">
      <c r="A154" s="196"/>
      <c r="B154" s="219"/>
      <c r="C154" s="196"/>
      <c r="D154" s="196"/>
      <c r="E154" s="196"/>
      <c r="F154" s="196"/>
      <c r="G154" s="196"/>
    </row>
    <row r="155" spans="1:7" x14ac:dyDescent="0.2">
      <c r="A155" s="196"/>
      <c r="B155" s="195"/>
      <c r="C155" s="196"/>
      <c r="D155" s="196"/>
      <c r="E155" s="196"/>
      <c r="F155" s="196"/>
      <c r="G155" s="196"/>
    </row>
    <row r="156" spans="1:7" x14ac:dyDescent="0.2">
      <c r="A156" s="196"/>
      <c r="B156" s="195"/>
      <c r="C156" s="196"/>
      <c r="D156" s="196"/>
      <c r="E156" s="196"/>
      <c r="F156" s="196"/>
      <c r="G156" s="196"/>
    </row>
    <row r="157" spans="1:7" x14ac:dyDescent="0.2">
      <c r="A157" s="196"/>
      <c r="B157" s="195"/>
      <c r="C157" s="196"/>
      <c r="D157" s="196"/>
      <c r="E157" s="196"/>
      <c r="F157" s="196"/>
      <c r="G157" s="196"/>
    </row>
    <row r="158" spans="1:7" x14ac:dyDescent="0.2">
      <c r="A158" s="196"/>
      <c r="B158" s="195"/>
      <c r="C158" s="196"/>
      <c r="D158" s="196"/>
      <c r="E158" s="196"/>
      <c r="F158" s="196"/>
      <c r="G158" s="196"/>
    </row>
  </sheetData>
  <mergeCells count="26">
    <mergeCell ref="A84:B84"/>
    <mergeCell ref="A3:G4"/>
    <mergeCell ref="A55:B55"/>
    <mergeCell ref="A62:B62"/>
    <mergeCell ref="A77:B77"/>
    <mergeCell ref="A17:B17"/>
    <mergeCell ref="A31:B31"/>
    <mergeCell ref="A24:B24"/>
    <mergeCell ref="A38:B38"/>
    <mergeCell ref="A47:B47"/>
    <mergeCell ref="A63:C63"/>
    <mergeCell ref="A71:C71"/>
    <mergeCell ref="A78:C78"/>
    <mergeCell ref="A1:G2"/>
    <mergeCell ref="A5:A6"/>
    <mergeCell ref="B5:B6"/>
    <mergeCell ref="C5:C6"/>
    <mergeCell ref="A56:C56"/>
    <mergeCell ref="A18:C18"/>
    <mergeCell ref="A25:C25"/>
    <mergeCell ref="A32:C32"/>
    <mergeCell ref="A41:C41"/>
    <mergeCell ref="A48:C48"/>
    <mergeCell ref="D5:F5"/>
    <mergeCell ref="G5:G6"/>
    <mergeCell ref="A8:C8"/>
  </mergeCells>
  <pageMargins left="0.75" right="0.75" top="1" bottom="1" header="0.5" footer="0.5"/>
  <pageSetup paperSize="9" fitToHeight="0" orientation="portrait" r:id="rId1"/>
  <headerFooter alignWithMargins="0"/>
  <ignoredErrors>
    <ignoredError sqref="C2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Y159"/>
  <sheetViews>
    <sheetView topLeftCell="A4" zoomScaleNormal="100" workbookViewId="0">
      <selection sqref="A1:G2"/>
    </sheetView>
  </sheetViews>
  <sheetFormatPr defaultRowHeight="12.75" x14ac:dyDescent="0.2"/>
  <cols>
    <col min="1" max="1" width="11" style="186" customWidth="1"/>
    <col min="2" max="2" width="32.85546875" style="197" customWidth="1"/>
    <col min="3" max="3" width="10" style="186" customWidth="1"/>
    <col min="4" max="4" width="7.28515625" style="186" customWidth="1"/>
    <col min="5" max="5" width="7.7109375" style="186" customWidth="1"/>
    <col min="6" max="6" width="7.42578125" style="186" customWidth="1"/>
    <col min="7" max="7" width="11.85546875" style="186" customWidth="1"/>
    <col min="8" max="16384" width="9.140625" style="183"/>
  </cols>
  <sheetData>
    <row r="1" spans="1:8" x14ac:dyDescent="0.2">
      <c r="A1" s="244" t="s">
        <v>261</v>
      </c>
      <c r="B1" s="244"/>
      <c r="C1" s="244"/>
      <c r="D1" s="244"/>
      <c r="E1" s="244"/>
      <c r="F1" s="244"/>
      <c r="G1" s="244"/>
    </row>
    <row r="2" spans="1:8" ht="21" customHeight="1" x14ac:dyDescent="0.2">
      <c r="A2" s="244"/>
      <c r="B2" s="244"/>
      <c r="C2" s="244"/>
      <c r="D2" s="244"/>
      <c r="E2" s="244"/>
      <c r="F2" s="244"/>
      <c r="G2" s="244"/>
    </row>
    <row r="3" spans="1:8" ht="12.75" customHeight="1" x14ac:dyDescent="0.2">
      <c r="A3" s="252" t="s">
        <v>258</v>
      </c>
      <c r="B3" s="252"/>
      <c r="C3" s="252"/>
      <c r="D3" s="252"/>
      <c r="E3" s="252"/>
      <c r="F3" s="252"/>
      <c r="G3" s="252"/>
    </row>
    <row r="4" spans="1:8" ht="157.5" customHeight="1" x14ac:dyDescent="0.2">
      <c r="A4" s="253"/>
      <c r="B4" s="253"/>
      <c r="C4" s="253"/>
      <c r="D4" s="253"/>
      <c r="E4" s="253"/>
      <c r="F4" s="253"/>
      <c r="G4" s="253"/>
    </row>
    <row r="5" spans="1:8" ht="33.75" customHeight="1" x14ac:dyDescent="0.2">
      <c r="A5" s="245" t="s">
        <v>204</v>
      </c>
      <c r="B5" s="245" t="s">
        <v>205</v>
      </c>
      <c r="C5" s="245" t="s">
        <v>206</v>
      </c>
      <c r="D5" s="245" t="s">
        <v>207</v>
      </c>
      <c r="E5" s="245"/>
      <c r="F5" s="245"/>
      <c r="G5" s="245" t="s">
        <v>23</v>
      </c>
    </row>
    <row r="6" spans="1:8" ht="34.5" customHeight="1" x14ac:dyDescent="0.2">
      <c r="A6" s="245"/>
      <c r="B6" s="245"/>
      <c r="C6" s="245"/>
      <c r="D6" s="243" t="s">
        <v>17</v>
      </c>
      <c r="E6" s="243" t="s">
        <v>19</v>
      </c>
      <c r="F6" s="243" t="s">
        <v>21</v>
      </c>
      <c r="G6" s="245"/>
    </row>
    <row r="7" spans="1:8" s="186" customFormat="1" x14ac:dyDescent="0.2">
      <c r="A7" s="243" t="s">
        <v>2</v>
      </c>
      <c r="B7" s="243" t="s">
        <v>8</v>
      </c>
      <c r="C7" s="243" t="s">
        <v>15</v>
      </c>
      <c r="D7" s="243" t="s">
        <v>18</v>
      </c>
      <c r="E7" s="243" t="s">
        <v>20</v>
      </c>
      <c r="F7" s="243" t="s">
        <v>22</v>
      </c>
      <c r="G7" s="243" t="s">
        <v>24</v>
      </c>
    </row>
    <row r="8" spans="1:8" ht="27.95" customHeight="1" x14ac:dyDescent="0.2">
      <c r="A8" s="249" t="s">
        <v>208</v>
      </c>
      <c r="B8" s="249"/>
      <c r="C8" s="249"/>
      <c r="D8" s="205">
        <f>D9</f>
        <v>16.649999999999999</v>
      </c>
      <c r="E8" s="205">
        <f>E9</f>
        <v>34.18</v>
      </c>
      <c r="F8" s="205">
        <f>F9</f>
        <v>84.53</v>
      </c>
      <c r="G8" s="205">
        <f>G9</f>
        <v>716.21</v>
      </c>
    </row>
    <row r="9" spans="1:8" x14ac:dyDescent="0.2">
      <c r="A9" s="243"/>
      <c r="B9" s="242" t="s">
        <v>243</v>
      </c>
      <c r="C9" s="243"/>
      <c r="D9" s="205">
        <f>D10+D11+D12+D13+D16</f>
        <v>16.649999999999999</v>
      </c>
      <c r="E9" s="205">
        <f t="shared" ref="E9:G9" si="0">E10+E11+E12+E13+E16</f>
        <v>34.18</v>
      </c>
      <c r="F9" s="205">
        <f t="shared" si="0"/>
        <v>84.53</v>
      </c>
      <c r="G9" s="205">
        <f t="shared" si="0"/>
        <v>716.21</v>
      </c>
      <c r="H9" s="211"/>
    </row>
    <row r="10" spans="1:8" x14ac:dyDescent="0.2">
      <c r="A10" s="221" t="s">
        <v>162</v>
      </c>
      <c r="B10" s="222" t="s">
        <v>35</v>
      </c>
      <c r="C10" s="221">
        <v>15</v>
      </c>
      <c r="D10" s="223">
        <v>3.9</v>
      </c>
      <c r="E10" s="223">
        <v>3.98</v>
      </c>
      <c r="F10" s="223">
        <v>0.53</v>
      </c>
      <c r="G10" s="223">
        <v>54.36</v>
      </c>
      <c r="H10" s="211"/>
    </row>
    <row r="11" spans="1:8" ht="25.5" x14ac:dyDescent="0.2">
      <c r="A11" s="221" t="s">
        <v>161</v>
      </c>
      <c r="B11" s="222" t="s">
        <v>183</v>
      </c>
      <c r="C11" s="221" t="s">
        <v>254</v>
      </c>
      <c r="D11" s="223">
        <v>8.75</v>
      </c>
      <c r="E11" s="223">
        <v>20.2</v>
      </c>
      <c r="F11" s="223">
        <v>34</v>
      </c>
      <c r="G11" s="223">
        <v>352.85</v>
      </c>
      <c r="H11" s="211"/>
    </row>
    <row r="12" spans="1:8" x14ac:dyDescent="0.2">
      <c r="A12" s="200" t="s">
        <v>163</v>
      </c>
      <c r="B12" s="199" t="s">
        <v>10</v>
      </c>
      <c r="C12" s="200">
        <v>200</v>
      </c>
      <c r="D12" s="201">
        <v>0</v>
      </c>
      <c r="E12" s="201">
        <v>0</v>
      </c>
      <c r="F12" s="201">
        <v>10</v>
      </c>
      <c r="G12" s="201">
        <v>42</v>
      </c>
      <c r="H12" s="211"/>
    </row>
    <row r="13" spans="1:8" x14ac:dyDescent="0.2">
      <c r="A13" s="221"/>
      <c r="B13" s="222" t="s">
        <v>234</v>
      </c>
      <c r="C13" s="221">
        <v>40</v>
      </c>
      <c r="D13" s="223">
        <v>3</v>
      </c>
      <c r="E13" s="223">
        <v>1</v>
      </c>
      <c r="F13" s="223">
        <v>21</v>
      </c>
      <c r="G13" s="223">
        <v>105</v>
      </c>
      <c r="H13" s="211"/>
    </row>
    <row r="14" spans="1:8" hidden="1" x14ac:dyDescent="0.2">
      <c r="A14" s="224"/>
      <c r="B14" s="222"/>
      <c r="C14" s="224"/>
      <c r="D14" s="223"/>
      <c r="E14" s="223"/>
      <c r="F14" s="223"/>
      <c r="G14" s="223"/>
      <c r="H14" s="211"/>
    </row>
    <row r="15" spans="1:8" hidden="1" x14ac:dyDescent="0.2">
      <c r="A15" s="225"/>
      <c r="B15" s="226"/>
      <c r="C15" s="225"/>
      <c r="D15" s="227"/>
      <c r="E15" s="227"/>
      <c r="F15" s="227"/>
      <c r="G15" s="227"/>
      <c r="H15" s="211"/>
    </row>
    <row r="16" spans="1:8" x14ac:dyDescent="0.2">
      <c r="A16" s="221"/>
      <c r="B16" s="222" t="s">
        <v>241</v>
      </c>
      <c r="C16" s="221">
        <v>30</v>
      </c>
      <c r="D16" s="223">
        <v>1</v>
      </c>
      <c r="E16" s="223">
        <v>9</v>
      </c>
      <c r="F16" s="223">
        <v>19</v>
      </c>
      <c r="G16" s="223">
        <v>162</v>
      </c>
      <c r="H16" s="211"/>
    </row>
    <row r="17" spans="1:14" x14ac:dyDescent="0.2">
      <c r="A17" s="254" t="s">
        <v>217</v>
      </c>
      <c r="B17" s="255"/>
      <c r="C17" s="228">
        <v>550</v>
      </c>
      <c r="D17" s="227"/>
      <c r="E17" s="227"/>
      <c r="F17" s="227"/>
      <c r="G17" s="227" t="s">
        <v>219</v>
      </c>
      <c r="H17" s="211"/>
    </row>
    <row r="18" spans="1:14" ht="27.95" customHeight="1" x14ac:dyDescent="0.2">
      <c r="A18" s="249" t="s">
        <v>209</v>
      </c>
      <c r="B18" s="249"/>
      <c r="C18" s="249"/>
      <c r="D18" s="205">
        <f>D19</f>
        <v>27.409999999999997</v>
      </c>
      <c r="E18" s="205">
        <f>E19</f>
        <v>18.64</v>
      </c>
      <c r="F18" s="205">
        <f>F19</f>
        <v>141.21</v>
      </c>
      <c r="G18" s="205">
        <f>G19</f>
        <v>841.83</v>
      </c>
      <c r="H18" s="211"/>
    </row>
    <row r="19" spans="1:14" x14ac:dyDescent="0.2">
      <c r="A19" s="243"/>
      <c r="B19" s="242" t="s">
        <v>243</v>
      </c>
      <c r="C19" s="243"/>
      <c r="D19" s="205">
        <f>D20+D21+D22+D23</f>
        <v>27.409999999999997</v>
      </c>
      <c r="E19" s="205">
        <f t="shared" ref="E19:G19" si="1">E20+E21+E22+E23</f>
        <v>18.64</v>
      </c>
      <c r="F19" s="205">
        <f t="shared" si="1"/>
        <v>141.21</v>
      </c>
      <c r="G19" s="205">
        <f t="shared" si="1"/>
        <v>841.83</v>
      </c>
      <c r="H19" s="211"/>
    </row>
    <row r="20" spans="1:14" x14ac:dyDescent="0.2">
      <c r="A20" s="198" t="s">
        <v>250</v>
      </c>
      <c r="B20" s="199" t="s">
        <v>233</v>
      </c>
      <c r="C20" s="200" t="s">
        <v>255</v>
      </c>
      <c r="D20" s="201">
        <v>17.45</v>
      </c>
      <c r="E20" s="201">
        <v>12.21</v>
      </c>
      <c r="F20" s="201">
        <v>46.68</v>
      </c>
      <c r="G20" s="201">
        <v>366.4</v>
      </c>
      <c r="H20" s="202"/>
      <c r="I20" s="232"/>
      <c r="J20" s="203"/>
      <c r="K20" s="194"/>
      <c r="L20" s="194"/>
      <c r="M20" s="194"/>
      <c r="N20" s="194"/>
    </row>
    <row r="21" spans="1:14" ht="27" customHeight="1" x14ac:dyDescent="0.2">
      <c r="A21" s="198" t="s">
        <v>224</v>
      </c>
      <c r="B21" s="206" t="s">
        <v>229</v>
      </c>
      <c r="C21" s="204">
        <v>200</v>
      </c>
      <c r="D21" s="201">
        <v>1.92</v>
      </c>
      <c r="E21" s="201">
        <v>0.11</v>
      </c>
      <c r="F21" s="201">
        <v>29.85</v>
      </c>
      <c r="G21" s="201">
        <v>128.09</v>
      </c>
      <c r="H21" s="211"/>
    </row>
    <row r="22" spans="1:14" x14ac:dyDescent="0.2">
      <c r="A22" s="204"/>
      <c r="B22" s="199" t="s">
        <v>11</v>
      </c>
      <c r="C22" s="204">
        <v>40</v>
      </c>
      <c r="D22" s="201">
        <v>3.04</v>
      </c>
      <c r="E22" s="201">
        <v>0.32</v>
      </c>
      <c r="F22" s="201">
        <v>19.68</v>
      </c>
      <c r="G22" s="201">
        <v>98.34</v>
      </c>
      <c r="H22" s="211"/>
    </row>
    <row r="23" spans="1:14" x14ac:dyDescent="0.2">
      <c r="A23" s="198"/>
      <c r="B23" s="199" t="s">
        <v>245</v>
      </c>
      <c r="C23" s="204">
        <v>60</v>
      </c>
      <c r="D23" s="201">
        <v>5</v>
      </c>
      <c r="E23" s="201">
        <v>6</v>
      </c>
      <c r="F23" s="201">
        <v>45</v>
      </c>
      <c r="G23" s="201">
        <v>249</v>
      </c>
      <c r="H23" s="211"/>
    </row>
    <row r="24" spans="1:14" x14ac:dyDescent="0.2">
      <c r="A24" s="250" t="s">
        <v>217</v>
      </c>
      <c r="B24" s="251"/>
      <c r="C24" s="243">
        <v>550</v>
      </c>
      <c r="D24" s="201"/>
      <c r="E24" s="201"/>
      <c r="F24" s="201"/>
      <c r="G24" s="201"/>
      <c r="H24" s="211"/>
    </row>
    <row r="25" spans="1:14" ht="27.95" customHeight="1" x14ac:dyDescent="0.2">
      <c r="A25" s="249" t="s">
        <v>210</v>
      </c>
      <c r="B25" s="249"/>
      <c r="C25" s="249"/>
      <c r="D25" s="205">
        <f>D26</f>
        <v>27.249999999999996</v>
      </c>
      <c r="E25" s="205">
        <f>E26</f>
        <v>29.359999999999996</v>
      </c>
      <c r="F25" s="205">
        <f>F26</f>
        <v>56.750000000000007</v>
      </c>
      <c r="G25" s="205">
        <f>G26</f>
        <v>612.94000000000005</v>
      </c>
      <c r="H25" s="211"/>
    </row>
    <row r="26" spans="1:14" x14ac:dyDescent="0.2">
      <c r="A26" s="243"/>
      <c r="B26" s="242" t="s">
        <v>243</v>
      </c>
      <c r="C26" s="243"/>
      <c r="D26" s="205">
        <f>D27+D28+D29+D30</f>
        <v>27.249999999999996</v>
      </c>
      <c r="E26" s="205">
        <f t="shared" ref="E26:G26" si="2">E27+E28+E29+E30</f>
        <v>29.359999999999996</v>
      </c>
      <c r="F26" s="205">
        <f t="shared" si="2"/>
        <v>56.750000000000007</v>
      </c>
      <c r="G26" s="205">
        <f t="shared" si="2"/>
        <v>612.94000000000005</v>
      </c>
      <c r="H26" s="211"/>
    </row>
    <row r="27" spans="1:14" ht="15" customHeight="1" x14ac:dyDescent="0.2">
      <c r="A27" s="198"/>
      <c r="B27" s="199" t="s">
        <v>242</v>
      </c>
      <c r="C27" s="204" t="s">
        <v>260</v>
      </c>
      <c r="D27" s="201">
        <v>0.4</v>
      </c>
      <c r="E27" s="201">
        <v>0.4</v>
      </c>
      <c r="F27" s="201">
        <v>9.8000000000000007</v>
      </c>
      <c r="G27" s="201">
        <v>47</v>
      </c>
      <c r="H27" s="211"/>
    </row>
    <row r="28" spans="1:14" x14ac:dyDescent="0.2">
      <c r="A28" s="204" t="s">
        <v>225</v>
      </c>
      <c r="B28" s="199" t="s">
        <v>226</v>
      </c>
      <c r="C28" s="204" t="s">
        <v>232</v>
      </c>
      <c r="D28" s="201">
        <v>21.06</v>
      </c>
      <c r="E28" s="201">
        <v>26.86</v>
      </c>
      <c r="F28" s="201">
        <v>3.75</v>
      </c>
      <c r="G28" s="201">
        <v>340.98</v>
      </c>
      <c r="H28" s="211"/>
    </row>
    <row r="29" spans="1:14" ht="29.25" customHeight="1" x14ac:dyDescent="0.2">
      <c r="A29" s="221" t="s">
        <v>164</v>
      </c>
      <c r="B29" s="222" t="s">
        <v>51</v>
      </c>
      <c r="C29" s="221">
        <v>200</v>
      </c>
      <c r="D29" s="223">
        <v>1.99</v>
      </c>
      <c r="E29" s="223">
        <v>1.7</v>
      </c>
      <c r="F29" s="223">
        <v>18.600000000000001</v>
      </c>
      <c r="G29" s="223">
        <v>102.03</v>
      </c>
      <c r="H29" s="211"/>
    </row>
    <row r="30" spans="1:14" ht="15" customHeight="1" x14ac:dyDescent="0.2">
      <c r="A30" s="204"/>
      <c r="B30" s="199" t="s">
        <v>11</v>
      </c>
      <c r="C30" s="204">
        <v>50</v>
      </c>
      <c r="D30" s="201">
        <v>3.8</v>
      </c>
      <c r="E30" s="201">
        <v>0.4</v>
      </c>
      <c r="F30" s="201">
        <v>24.6</v>
      </c>
      <c r="G30" s="201">
        <v>122.93</v>
      </c>
      <c r="H30" s="211"/>
    </row>
    <row r="31" spans="1:14" x14ac:dyDescent="0.2">
      <c r="A31" s="250" t="s">
        <v>217</v>
      </c>
      <c r="B31" s="251"/>
      <c r="C31" s="243">
        <v>580</v>
      </c>
      <c r="D31" s="201"/>
      <c r="E31" s="201"/>
      <c r="F31" s="201"/>
      <c r="G31" s="201"/>
      <c r="H31" s="211"/>
    </row>
    <row r="32" spans="1:14" ht="27.95" customHeight="1" x14ac:dyDescent="0.2">
      <c r="A32" s="249" t="s">
        <v>211</v>
      </c>
      <c r="B32" s="249"/>
      <c r="C32" s="249"/>
      <c r="D32" s="205">
        <f>D33</f>
        <v>23.839999999999996</v>
      </c>
      <c r="E32" s="205">
        <f>E33</f>
        <v>29.52</v>
      </c>
      <c r="F32" s="205">
        <f>F33</f>
        <v>108.00999999999999</v>
      </c>
      <c r="G32" s="205">
        <f>G33</f>
        <v>795.64</v>
      </c>
      <c r="H32" s="211"/>
    </row>
    <row r="33" spans="1:9" x14ac:dyDescent="0.2">
      <c r="A33" s="243"/>
      <c r="B33" s="242" t="s">
        <v>243</v>
      </c>
      <c r="C33" s="243"/>
      <c r="D33" s="205">
        <f>D34+D35+D36+D37</f>
        <v>23.839999999999996</v>
      </c>
      <c r="E33" s="205">
        <f t="shared" ref="E33:G33" si="3">E34+E35+E36+E37</f>
        <v>29.52</v>
      </c>
      <c r="F33" s="205">
        <f t="shared" si="3"/>
        <v>108.00999999999999</v>
      </c>
      <c r="G33" s="205">
        <f t="shared" si="3"/>
        <v>795.64</v>
      </c>
      <c r="H33" s="211"/>
    </row>
    <row r="34" spans="1:9" x14ac:dyDescent="0.2">
      <c r="A34" s="198" t="s">
        <v>169</v>
      </c>
      <c r="B34" s="199" t="s">
        <v>251</v>
      </c>
      <c r="C34" s="204" t="s">
        <v>256</v>
      </c>
      <c r="D34" s="201">
        <v>16.649999999999999</v>
      </c>
      <c r="E34" s="201">
        <v>27.2</v>
      </c>
      <c r="F34" s="201">
        <v>29.3</v>
      </c>
      <c r="G34" s="201">
        <v>428.9</v>
      </c>
      <c r="H34" s="211"/>
    </row>
    <row r="35" spans="1:9" ht="25.5" x14ac:dyDescent="0.2">
      <c r="A35" s="204" t="s">
        <v>42</v>
      </c>
      <c r="B35" s="199" t="s">
        <v>244</v>
      </c>
      <c r="C35" s="204">
        <v>200</v>
      </c>
      <c r="D35" s="201">
        <v>1.1499999999999999</v>
      </c>
      <c r="E35" s="201">
        <v>0</v>
      </c>
      <c r="F35" s="201">
        <v>12.03</v>
      </c>
      <c r="G35" s="201">
        <v>55.4</v>
      </c>
      <c r="H35" s="211"/>
      <c r="I35" s="183">
        <v>0</v>
      </c>
    </row>
    <row r="36" spans="1:9" x14ac:dyDescent="0.2">
      <c r="A36" s="204"/>
      <c r="B36" s="199" t="s">
        <v>11</v>
      </c>
      <c r="C36" s="204">
        <v>40</v>
      </c>
      <c r="D36" s="201">
        <v>3.04</v>
      </c>
      <c r="E36" s="201">
        <v>0.32</v>
      </c>
      <c r="F36" s="201">
        <v>19.68</v>
      </c>
      <c r="G36" s="201">
        <v>98.34</v>
      </c>
      <c r="H36" s="211"/>
    </row>
    <row r="37" spans="1:9" x14ac:dyDescent="0.2">
      <c r="A37" s="204"/>
      <c r="B37" s="199" t="s">
        <v>246</v>
      </c>
      <c r="C37" s="204">
        <v>60</v>
      </c>
      <c r="D37" s="201">
        <v>3</v>
      </c>
      <c r="E37" s="201">
        <v>2</v>
      </c>
      <c r="F37" s="201">
        <v>47</v>
      </c>
      <c r="G37" s="201">
        <v>213</v>
      </c>
      <c r="H37" s="211"/>
    </row>
    <row r="38" spans="1:9" ht="15" customHeight="1" x14ac:dyDescent="0.2">
      <c r="A38" s="250" t="s">
        <v>217</v>
      </c>
      <c r="B38" s="251"/>
      <c r="C38" s="243">
        <v>550</v>
      </c>
      <c r="D38" s="201"/>
      <c r="E38" s="201"/>
      <c r="F38" s="201"/>
      <c r="G38" s="201"/>
      <c r="H38" s="211"/>
    </row>
    <row r="39" spans="1:9" ht="15" customHeight="1" x14ac:dyDescent="0.2">
      <c r="A39" s="239"/>
      <c r="B39" s="240"/>
      <c r="C39" s="243"/>
      <c r="D39" s="201"/>
      <c r="E39" s="201"/>
      <c r="F39" s="201"/>
      <c r="G39" s="201"/>
      <c r="H39" s="211"/>
    </row>
    <row r="40" spans="1:9" ht="15" customHeight="1" x14ac:dyDescent="0.2">
      <c r="A40" s="239"/>
      <c r="B40" s="240"/>
      <c r="C40" s="243"/>
      <c r="D40" s="201"/>
      <c r="E40" s="201"/>
      <c r="F40" s="201"/>
      <c r="G40" s="201"/>
      <c r="H40" s="211"/>
    </row>
    <row r="41" spans="1:9" ht="27.95" customHeight="1" x14ac:dyDescent="0.2">
      <c r="A41" s="249" t="s">
        <v>212</v>
      </c>
      <c r="B41" s="249"/>
      <c r="C41" s="249"/>
      <c r="D41" s="205">
        <f>D42</f>
        <v>20.849999999999998</v>
      </c>
      <c r="E41" s="205">
        <f>E42</f>
        <v>17.599999999999998</v>
      </c>
      <c r="F41" s="205">
        <f>F42</f>
        <v>94.949999999999989</v>
      </c>
      <c r="G41" s="205">
        <f>G42</f>
        <v>634.05999999999995</v>
      </c>
      <c r="H41" s="211"/>
    </row>
    <row r="42" spans="1:9" x14ac:dyDescent="0.2">
      <c r="A42" s="243"/>
      <c r="B42" s="242" t="s">
        <v>243</v>
      </c>
      <c r="C42" s="243"/>
      <c r="D42" s="205">
        <f>D43+D44+D45+D46</f>
        <v>20.849999999999998</v>
      </c>
      <c r="E42" s="205">
        <f t="shared" ref="E42:G42" si="4">E43+E44+E45+E46</f>
        <v>17.599999999999998</v>
      </c>
      <c r="F42" s="205">
        <f t="shared" si="4"/>
        <v>94.949999999999989</v>
      </c>
      <c r="G42" s="205">
        <f t="shared" si="4"/>
        <v>634.05999999999995</v>
      </c>
      <c r="H42" s="211"/>
    </row>
    <row r="43" spans="1:9" x14ac:dyDescent="0.2">
      <c r="A43" s="204" t="s">
        <v>252</v>
      </c>
      <c r="B43" s="199" t="s">
        <v>249</v>
      </c>
      <c r="C43" s="204">
        <v>100</v>
      </c>
      <c r="D43" s="201">
        <v>12.55</v>
      </c>
      <c r="E43" s="201">
        <v>6.8</v>
      </c>
      <c r="F43" s="201">
        <v>15.53</v>
      </c>
      <c r="G43" s="201">
        <v>173.55</v>
      </c>
      <c r="H43" s="211"/>
    </row>
    <row r="44" spans="1:9" x14ac:dyDescent="0.2">
      <c r="A44" s="204" t="s">
        <v>34</v>
      </c>
      <c r="B44" s="199" t="s">
        <v>32</v>
      </c>
      <c r="C44" s="209">
        <v>200</v>
      </c>
      <c r="D44" s="201">
        <v>4.3499999999999996</v>
      </c>
      <c r="E44" s="201">
        <v>10.4</v>
      </c>
      <c r="F44" s="201">
        <v>29.32</v>
      </c>
      <c r="G44" s="201">
        <v>235</v>
      </c>
      <c r="H44" s="211"/>
    </row>
    <row r="45" spans="1:9" ht="25.5" x14ac:dyDescent="0.2">
      <c r="A45" s="198" t="s">
        <v>253</v>
      </c>
      <c r="B45" s="199" t="s">
        <v>259</v>
      </c>
      <c r="C45" s="204">
        <v>200</v>
      </c>
      <c r="D45" s="201">
        <v>0.15</v>
      </c>
      <c r="E45" s="201">
        <v>0</v>
      </c>
      <c r="F45" s="201">
        <v>25.5</v>
      </c>
      <c r="G45" s="201">
        <v>102.58</v>
      </c>
      <c r="H45" s="211"/>
    </row>
    <row r="46" spans="1:9" ht="13.5" customHeight="1" x14ac:dyDescent="0.2">
      <c r="A46" s="204"/>
      <c r="B46" s="199" t="s">
        <v>11</v>
      </c>
      <c r="C46" s="204">
        <v>50</v>
      </c>
      <c r="D46" s="201">
        <v>3.8</v>
      </c>
      <c r="E46" s="201">
        <v>0.4</v>
      </c>
      <c r="F46" s="201">
        <v>24.6</v>
      </c>
      <c r="G46" s="201">
        <v>122.93</v>
      </c>
      <c r="H46" s="211"/>
    </row>
    <row r="47" spans="1:9" x14ac:dyDescent="0.2">
      <c r="A47" s="250" t="s">
        <v>217</v>
      </c>
      <c r="B47" s="251"/>
      <c r="C47" s="243">
        <v>550</v>
      </c>
      <c r="D47" s="201"/>
      <c r="E47" s="201"/>
      <c r="F47" s="201"/>
      <c r="G47" s="201"/>
      <c r="H47" s="211"/>
    </row>
    <row r="48" spans="1:9" ht="27.95" customHeight="1" x14ac:dyDescent="0.2">
      <c r="A48" s="249" t="s">
        <v>213</v>
      </c>
      <c r="B48" s="249"/>
      <c r="C48" s="249"/>
      <c r="D48" s="205">
        <f>D49</f>
        <v>17.060000000000002</v>
      </c>
      <c r="E48" s="205">
        <f t="shared" ref="E48:G48" si="5">E49</f>
        <v>32.730000000000004</v>
      </c>
      <c r="F48" s="205">
        <f t="shared" si="5"/>
        <v>101.69</v>
      </c>
      <c r="G48" s="205">
        <f t="shared" si="5"/>
        <v>773.36</v>
      </c>
      <c r="H48" s="211"/>
    </row>
    <row r="49" spans="1:24" x14ac:dyDescent="0.2">
      <c r="A49" s="243"/>
      <c r="B49" s="242" t="s">
        <v>243</v>
      </c>
      <c r="C49" s="243"/>
      <c r="D49" s="205">
        <f>D50+D51+D52+D53+D54</f>
        <v>17.060000000000002</v>
      </c>
      <c r="E49" s="205">
        <f t="shared" ref="E49:G49" si="6">E50+E51+E52+E53+E54</f>
        <v>32.730000000000004</v>
      </c>
      <c r="F49" s="205">
        <f t="shared" si="6"/>
        <v>101.69</v>
      </c>
      <c r="G49" s="205">
        <f t="shared" si="6"/>
        <v>773.36</v>
      </c>
      <c r="H49" s="211"/>
    </row>
    <row r="50" spans="1:24" x14ac:dyDescent="0.2">
      <c r="A50" s="221" t="s">
        <v>162</v>
      </c>
      <c r="B50" s="222" t="s">
        <v>35</v>
      </c>
      <c r="C50" s="221">
        <v>15</v>
      </c>
      <c r="D50" s="223">
        <v>3.9</v>
      </c>
      <c r="E50" s="223">
        <v>3.98</v>
      </c>
      <c r="F50" s="223">
        <v>0.53</v>
      </c>
      <c r="G50" s="223">
        <v>54.36</v>
      </c>
      <c r="H50" s="211"/>
    </row>
    <row r="51" spans="1:24" ht="24.75" customHeight="1" x14ac:dyDescent="0.2">
      <c r="A51" s="204" t="s">
        <v>161</v>
      </c>
      <c r="B51" s="199" t="s">
        <v>187</v>
      </c>
      <c r="C51" s="204" t="s">
        <v>254</v>
      </c>
      <c r="D51" s="201">
        <v>9.16</v>
      </c>
      <c r="E51" s="201">
        <v>18.75</v>
      </c>
      <c r="F51" s="201">
        <v>51.16</v>
      </c>
      <c r="G51" s="201">
        <v>410</v>
      </c>
      <c r="H51" s="212"/>
      <c r="I51" s="184"/>
      <c r="J51" s="184"/>
      <c r="K51" s="184"/>
      <c r="L51" s="185"/>
      <c r="M51" s="184"/>
      <c r="N51" s="184"/>
      <c r="O51" s="184"/>
      <c r="P51" s="184"/>
      <c r="Q51" s="184"/>
    </row>
    <row r="52" spans="1:24" ht="12" customHeight="1" x14ac:dyDescent="0.2">
      <c r="A52" s="200" t="s">
        <v>163</v>
      </c>
      <c r="B52" s="199" t="s">
        <v>10</v>
      </c>
      <c r="C52" s="200">
        <v>200</v>
      </c>
      <c r="D52" s="201">
        <v>0</v>
      </c>
      <c r="E52" s="201">
        <v>0</v>
      </c>
      <c r="F52" s="201">
        <v>10</v>
      </c>
      <c r="G52" s="201">
        <v>42</v>
      </c>
      <c r="H52" s="212"/>
      <c r="I52" s="184"/>
      <c r="J52" s="184"/>
      <c r="K52" s="184"/>
      <c r="L52" s="185"/>
      <c r="M52" s="184"/>
      <c r="N52" s="184"/>
      <c r="O52" s="184"/>
      <c r="P52" s="184"/>
      <c r="Q52" s="184"/>
    </row>
    <row r="53" spans="1:24" x14ac:dyDescent="0.2">
      <c r="A53" s="221"/>
      <c r="B53" s="222" t="s">
        <v>234</v>
      </c>
      <c r="C53" s="221">
        <v>40</v>
      </c>
      <c r="D53" s="223">
        <v>3</v>
      </c>
      <c r="E53" s="223">
        <v>1</v>
      </c>
      <c r="F53" s="223">
        <v>21</v>
      </c>
      <c r="G53" s="223">
        <v>105</v>
      </c>
      <c r="H53" s="212"/>
      <c r="I53" s="184"/>
      <c r="J53" s="184"/>
      <c r="K53" s="184"/>
      <c r="L53" s="184"/>
      <c r="M53" s="184"/>
      <c r="N53" s="184"/>
      <c r="O53" s="184"/>
      <c r="P53" s="184"/>
    </row>
    <row r="54" spans="1:24" x14ac:dyDescent="0.2">
      <c r="A54" s="221"/>
      <c r="B54" s="222" t="s">
        <v>241</v>
      </c>
      <c r="C54" s="221">
        <v>30</v>
      </c>
      <c r="D54" s="223">
        <v>1</v>
      </c>
      <c r="E54" s="223">
        <v>9</v>
      </c>
      <c r="F54" s="223">
        <v>19</v>
      </c>
      <c r="G54" s="223">
        <v>162</v>
      </c>
      <c r="H54" s="212"/>
      <c r="I54" s="184"/>
      <c r="J54" s="184"/>
      <c r="K54" s="184"/>
      <c r="L54" s="184"/>
      <c r="M54" s="184"/>
      <c r="N54" s="184"/>
      <c r="O54" s="184"/>
      <c r="P54" s="184"/>
    </row>
    <row r="55" spans="1:24" x14ac:dyDescent="0.2">
      <c r="A55" s="250" t="s">
        <v>217</v>
      </c>
      <c r="B55" s="251"/>
      <c r="C55" s="208">
        <v>550</v>
      </c>
      <c r="D55" s="207"/>
      <c r="E55" s="207"/>
      <c r="F55" s="207"/>
      <c r="G55" s="207"/>
      <c r="H55" s="211"/>
    </row>
    <row r="56" spans="1:24" ht="27.95" customHeight="1" x14ac:dyDescent="0.2">
      <c r="A56" s="246" t="s">
        <v>64</v>
      </c>
      <c r="B56" s="247"/>
      <c r="C56" s="248"/>
      <c r="D56" s="205">
        <f>D57</f>
        <v>17.63</v>
      </c>
      <c r="E56" s="205">
        <f>E57</f>
        <v>37.869999999999997</v>
      </c>
      <c r="F56" s="205">
        <f>F57</f>
        <v>77.039999999999992</v>
      </c>
      <c r="G56" s="205">
        <f>G57</f>
        <v>725.2</v>
      </c>
      <c r="H56" s="211"/>
    </row>
    <row r="57" spans="1:24" x14ac:dyDescent="0.2">
      <c r="A57" s="243"/>
      <c r="B57" s="242" t="s">
        <v>243</v>
      </c>
      <c r="C57" s="243"/>
      <c r="D57" s="205">
        <f>D58+D59+D60+D61</f>
        <v>17.63</v>
      </c>
      <c r="E57" s="205">
        <f t="shared" ref="E57:G57" si="7">E58+E59+E60+E61</f>
        <v>37.869999999999997</v>
      </c>
      <c r="F57" s="205">
        <f t="shared" si="7"/>
        <v>77.039999999999992</v>
      </c>
      <c r="G57" s="205">
        <f t="shared" si="7"/>
        <v>725.2</v>
      </c>
      <c r="H57" s="211"/>
    </row>
    <row r="58" spans="1:24" x14ac:dyDescent="0.2">
      <c r="A58" s="204" t="s">
        <v>227</v>
      </c>
      <c r="B58" s="199" t="s">
        <v>228</v>
      </c>
      <c r="C58" s="204">
        <v>100</v>
      </c>
      <c r="D58" s="194">
        <v>0.8</v>
      </c>
      <c r="E58" s="201">
        <v>0</v>
      </c>
      <c r="F58" s="201">
        <v>1.7</v>
      </c>
      <c r="G58" s="201">
        <v>10</v>
      </c>
      <c r="H58" s="211"/>
    </row>
    <row r="59" spans="1:24" ht="13.5" customHeight="1" x14ac:dyDescent="0.2">
      <c r="A59" s="204" t="s">
        <v>220</v>
      </c>
      <c r="B59" s="199" t="s">
        <v>221</v>
      </c>
      <c r="C59" s="204" t="s">
        <v>231</v>
      </c>
      <c r="D59" s="201">
        <v>11.11</v>
      </c>
      <c r="E59" s="201">
        <v>37.36</v>
      </c>
      <c r="F59" s="201">
        <v>20.89</v>
      </c>
      <c r="G59" s="201">
        <v>464.18</v>
      </c>
      <c r="H59" s="196"/>
      <c r="I59" s="186"/>
      <c r="J59" s="186"/>
      <c r="K59" s="186"/>
      <c r="L59" s="186"/>
      <c r="M59" s="186"/>
      <c r="N59" s="186"/>
      <c r="O59" s="186"/>
      <c r="P59" s="186"/>
      <c r="Q59" s="186"/>
      <c r="R59" s="186"/>
      <c r="S59" s="186"/>
      <c r="T59" s="186"/>
      <c r="U59" s="186"/>
      <c r="V59" s="186"/>
      <c r="W59" s="186"/>
      <c r="X59" s="186"/>
    </row>
    <row r="60" spans="1:24" ht="14.25" customHeight="1" x14ac:dyDescent="0.2">
      <c r="A60" s="198" t="s">
        <v>224</v>
      </c>
      <c r="B60" s="206" t="s">
        <v>229</v>
      </c>
      <c r="C60" s="204">
        <v>200</v>
      </c>
      <c r="D60" s="201">
        <v>1.92</v>
      </c>
      <c r="E60" s="201">
        <v>0.11</v>
      </c>
      <c r="F60" s="201">
        <v>29.85</v>
      </c>
      <c r="G60" s="201">
        <v>128.09</v>
      </c>
      <c r="H60" s="213"/>
      <c r="I60" s="186"/>
      <c r="J60" s="186"/>
      <c r="K60" s="182"/>
      <c r="L60" s="186"/>
      <c r="M60" s="186"/>
      <c r="N60" s="182"/>
      <c r="O60" s="186"/>
      <c r="P60" s="186"/>
      <c r="Q60" s="186"/>
      <c r="R60" s="186"/>
      <c r="S60" s="186"/>
      <c r="T60" s="186"/>
      <c r="U60" s="186"/>
      <c r="V60" s="186"/>
      <c r="W60" s="186"/>
      <c r="X60" s="186"/>
    </row>
    <row r="61" spans="1:24" ht="14.25" customHeight="1" x14ac:dyDescent="0.2">
      <c r="A61" s="204"/>
      <c r="B61" s="199" t="s">
        <v>11</v>
      </c>
      <c r="C61" s="204">
        <v>50</v>
      </c>
      <c r="D61" s="201">
        <v>3.8</v>
      </c>
      <c r="E61" s="201">
        <v>0.4</v>
      </c>
      <c r="F61" s="201">
        <v>24.6</v>
      </c>
      <c r="G61" s="201">
        <v>122.93</v>
      </c>
      <c r="H61" s="213"/>
      <c r="I61" s="186"/>
      <c r="J61" s="186"/>
      <c r="K61" s="182"/>
      <c r="L61" s="186"/>
      <c r="M61" s="186"/>
      <c r="N61" s="182"/>
      <c r="O61" s="186"/>
      <c r="P61" s="186"/>
      <c r="Q61" s="186"/>
      <c r="R61" s="186"/>
      <c r="S61" s="186"/>
      <c r="T61" s="186"/>
      <c r="U61" s="186"/>
      <c r="V61" s="186"/>
      <c r="W61" s="186"/>
      <c r="X61" s="186"/>
    </row>
    <row r="62" spans="1:24" ht="17.25" customHeight="1" x14ac:dyDescent="0.2">
      <c r="A62" s="250" t="s">
        <v>217</v>
      </c>
      <c r="B62" s="251"/>
      <c r="C62" s="208">
        <v>550</v>
      </c>
      <c r="D62" s="207"/>
      <c r="E62" s="207"/>
      <c r="F62" s="207"/>
      <c r="G62" s="207"/>
      <c r="H62" s="213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</row>
    <row r="63" spans="1:24" ht="27.95" customHeight="1" x14ac:dyDescent="0.2">
      <c r="A63" s="249" t="s">
        <v>214</v>
      </c>
      <c r="B63" s="249"/>
      <c r="C63" s="249"/>
      <c r="D63" s="205">
        <f>D65+D66+D67+D68+D69</f>
        <v>21.15</v>
      </c>
      <c r="E63" s="205">
        <f t="shared" ref="E63:G63" si="8">E65+E66+E67+E68+E69</f>
        <v>24.04</v>
      </c>
      <c r="F63" s="205">
        <f t="shared" si="8"/>
        <v>128.91</v>
      </c>
      <c r="G63" s="205">
        <f t="shared" si="8"/>
        <v>822.12</v>
      </c>
      <c r="H63" s="211"/>
    </row>
    <row r="64" spans="1:24" ht="10.5" customHeight="1" x14ac:dyDescent="0.2">
      <c r="A64" s="243"/>
      <c r="B64" s="242" t="s">
        <v>243</v>
      </c>
      <c r="C64" s="243"/>
      <c r="D64" s="205">
        <v>21.15</v>
      </c>
      <c r="E64" s="205">
        <v>24.04</v>
      </c>
      <c r="F64" s="205">
        <v>128.91</v>
      </c>
      <c r="G64" s="205">
        <v>822.12</v>
      </c>
      <c r="H64" s="211"/>
    </row>
    <row r="65" spans="1:25" ht="12.75" customHeight="1" x14ac:dyDescent="0.2">
      <c r="A65" s="204" t="s">
        <v>160</v>
      </c>
      <c r="B65" s="199" t="s">
        <v>135</v>
      </c>
      <c r="C65" s="204">
        <v>10</v>
      </c>
      <c r="D65" s="201">
        <v>0.1</v>
      </c>
      <c r="E65" s="201">
        <v>7.26</v>
      </c>
      <c r="F65" s="201">
        <v>0.14000000000000001</v>
      </c>
      <c r="G65" s="201">
        <v>66.22</v>
      </c>
      <c r="H65" s="211"/>
      <c r="I65" s="196"/>
      <c r="J65" s="232"/>
      <c r="K65" s="196"/>
      <c r="L65" s="194"/>
      <c r="M65" s="194"/>
      <c r="N65" s="194"/>
      <c r="O65" s="194"/>
      <c r="P65" s="211"/>
    </row>
    <row r="66" spans="1:25" x14ac:dyDescent="0.2">
      <c r="A66" s="204" t="s">
        <v>239</v>
      </c>
      <c r="B66" s="199" t="s">
        <v>237</v>
      </c>
      <c r="C66" s="204" t="s">
        <v>257</v>
      </c>
      <c r="D66" s="201">
        <v>12.69</v>
      </c>
      <c r="E66" s="201">
        <v>10.76</v>
      </c>
      <c r="F66" s="201">
        <v>60.49</v>
      </c>
      <c r="G66" s="201">
        <v>389.53</v>
      </c>
      <c r="H66" s="211"/>
      <c r="I66" s="202"/>
      <c r="J66" s="232"/>
      <c r="K66" s="196"/>
      <c r="L66" s="194"/>
      <c r="M66" s="194"/>
      <c r="N66" s="194"/>
      <c r="O66" s="194"/>
      <c r="P66" s="211"/>
    </row>
    <row r="67" spans="1:25" x14ac:dyDescent="0.2">
      <c r="A67" s="221" t="s">
        <v>164</v>
      </c>
      <c r="B67" s="222" t="s">
        <v>51</v>
      </c>
      <c r="C67" s="221">
        <v>200</v>
      </c>
      <c r="D67" s="223">
        <v>1.99</v>
      </c>
      <c r="E67" s="223">
        <v>1.7</v>
      </c>
      <c r="F67" s="223">
        <v>18.600000000000001</v>
      </c>
      <c r="G67" s="223">
        <v>102.03</v>
      </c>
      <c r="H67" s="211"/>
      <c r="I67" s="202"/>
      <c r="J67" s="232"/>
      <c r="K67" s="203"/>
      <c r="L67" s="194"/>
      <c r="M67" s="194"/>
      <c r="N67" s="194"/>
      <c r="O67" s="194"/>
      <c r="P67" s="211"/>
    </row>
    <row r="68" spans="1:25" x14ac:dyDescent="0.2">
      <c r="A68" s="204"/>
      <c r="B68" s="199" t="s">
        <v>11</v>
      </c>
      <c r="C68" s="204">
        <v>40</v>
      </c>
      <c r="D68" s="201">
        <v>3.04</v>
      </c>
      <c r="E68" s="201">
        <v>0.32</v>
      </c>
      <c r="F68" s="201">
        <v>19.68</v>
      </c>
      <c r="G68" s="201">
        <v>98.34</v>
      </c>
      <c r="H68" s="211"/>
      <c r="I68" s="196"/>
      <c r="J68" s="232"/>
      <c r="K68" s="196"/>
      <c r="L68" s="194"/>
      <c r="M68" s="194"/>
      <c r="N68" s="194"/>
      <c r="O68" s="194"/>
      <c r="P68" s="211"/>
    </row>
    <row r="69" spans="1:25" x14ac:dyDescent="0.2">
      <c r="A69" s="198"/>
      <c r="B69" s="199" t="s">
        <v>245</v>
      </c>
      <c r="C69" s="204">
        <v>40</v>
      </c>
      <c r="D69" s="201">
        <v>3.33</v>
      </c>
      <c r="E69" s="201">
        <v>4</v>
      </c>
      <c r="F69" s="201">
        <v>30</v>
      </c>
      <c r="G69" s="201">
        <v>166</v>
      </c>
      <c r="H69" s="220"/>
      <c r="I69" s="194"/>
      <c r="J69" s="194"/>
      <c r="K69" s="194"/>
      <c r="L69" s="194"/>
    </row>
    <row r="70" spans="1:25" x14ac:dyDescent="0.2">
      <c r="A70" s="198"/>
      <c r="B70" s="216" t="s">
        <v>217</v>
      </c>
      <c r="C70" s="243">
        <v>550</v>
      </c>
      <c r="D70" s="201"/>
      <c r="E70" s="201"/>
      <c r="F70" s="201"/>
      <c r="G70" s="201"/>
      <c r="H70" s="211"/>
    </row>
    <row r="71" spans="1:25" ht="26.25" customHeight="1" x14ac:dyDescent="0.2">
      <c r="A71" s="249" t="s">
        <v>215</v>
      </c>
      <c r="B71" s="249"/>
      <c r="C71" s="249"/>
      <c r="D71" s="205">
        <f>D72</f>
        <v>23.24</v>
      </c>
      <c r="E71" s="205">
        <f>E72</f>
        <v>23.429999999999996</v>
      </c>
      <c r="F71" s="205">
        <f>F72</f>
        <v>80.03</v>
      </c>
      <c r="G71" s="205">
        <f>G72</f>
        <v>632.17999999999995</v>
      </c>
      <c r="H71" s="211"/>
    </row>
    <row r="72" spans="1:25" x14ac:dyDescent="0.2">
      <c r="A72" s="243"/>
      <c r="B72" s="242" t="s">
        <v>66</v>
      </c>
      <c r="C72" s="243"/>
      <c r="D72" s="205">
        <f>D73+D74+D75+D76</f>
        <v>23.24</v>
      </c>
      <c r="E72" s="205">
        <f t="shared" ref="E72:G72" si="9">E73+E74+E75+E76</f>
        <v>23.429999999999996</v>
      </c>
      <c r="F72" s="205">
        <f t="shared" si="9"/>
        <v>80.03</v>
      </c>
      <c r="G72" s="205">
        <f t="shared" si="9"/>
        <v>632.17999999999995</v>
      </c>
      <c r="H72" s="211"/>
    </row>
    <row r="73" spans="1:25" x14ac:dyDescent="0.2">
      <c r="A73" s="204" t="s">
        <v>131</v>
      </c>
      <c r="B73" s="199" t="s">
        <v>141</v>
      </c>
      <c r="C73" s="204">
        <v>100</v>
      </c>
      <c r="D73" s="201">
        <v>12.12</v>
      </c>
      <c r="E73" s="201">
        <v>16.329999999999998</v>
      </c>
      <c r="F73" s="201">
        <v>15.67</v>
      </c>
      <c r="G73" s="201">
        <v>258.14999999999998</v>
      </c>
      <c r="H73" s="211"/>
    </row>
    <row r="74" spans="1:25" x14ac:dyDescent="0.2">
      <c r="A74" s="198" t="s">
        <v>223</v>
      </c>
      <c r="B74" s="199" t="s">
        <v>222</v>
      </c>
      <c r="C74" s="204">
        <v>200</v>
      </c>
      <c r="D74" s="201">
        <v>6.17</v>
      </c>
      <c r="E74" s="201">
        <v>6.7</v>
      </c>
      <c r="F74" s="201">
        <v>27.73</v>
      </c>
      <c r="G74" s="201">
        <v>195.7</v>
      </c>
      <c r="H74" s="211"/>
    </row>
    <row r="75" spans="1:25" ht="25.5" x14ac:dyDescent="0.2">
      <c r="A75" s="204" t="s">
        <v>42</v>
      </c>
      <c r="B75" s="199" t="s">
        <v>244</v>
      </c>
      <c r="C75" s="204">
        <v>200</v>
      </c>
      <c r="D75" s="201">
        <v>1.1499999999999999</v>
      </c>
      <c r="E75" s="201">
        <v>0</v>
      </c>
      <c r="F75" s="201">
        <v>12.03</v>
      </c>
      <c r="G75" s="201">
        <v>55.4</v>
      </c>
      <c r="H75" s="211"/>
    </row>
    <row r="76" spans="1:25" x14ac:dyDescent="0.2">
      <c r="A76" s="204"/>
      <c r="B76" s="199" t="s">
        <v>11</v>
      </c>
      <c r="C76" s="204">
        <v>50</v>
      </c>
      <c r="D76" s="201">
        <v>3.8</v>
      </c>
      <c r="E76" s="201">
        <v>0.4</v>
      </c>
      <c r="F76" s="201">
        <v>24.6</v>
      </c>
      <c r="G76" s="201">
        <v>122.93</v>
      </c>
      <c r="H76" s="211"/>
    </row>
    <row r="77" spans="1:25" x14ac:dyDescent="0.2">
      <c r="A77" s="250" t="s">
        <v>217</v>
      </c>
      <c r="B77" s="251"/>
      <c r="C77" s="243">
        <v>550</v>
      </c>
      <c r="D77" s="201"/>
      <c r="E77" s="201"/>
      <c r="F77" s="201"/>
      <c r="G77" s="201"/>
      <c r="H77" s="211"/>
    </row>
    <row r="78" spans="1:25" ht="27.95" customHeight="1" x14ac:dyDescent="0.2">
      <c r="A78" s="249" t="s">
        <v>216</v>
      </c>
      <c r="B78" s="249"/>
      <c r="C78" s="249"/>
      <c r="D78" s="205">
        <f>D79</f>
        <v>26.119999999999997</v>
      </c>
      <c r="E78" s="205">
        <f>E79</f>
        <v>9.620000000000001</v>
      </c>
      <c r="F78" s="205">
        <f>F79</f>
        <v>108.18</v>
      </c>
      <c r="G78" s="205">
        <f>G79</f>
        <v>633.1</v>
      </c>
      <c r="H78" s="233"/>
      <c r="I78" s="188"/>
      <c r="J78" s="188"/>
      <c r="K78" s="188"/>
      <c r="L78" s="188"/>
      <c r="M78" s="188"/>
      <c r="N78" s="188"/>
      <c r="O78" s="188"/>
      <c r="P78" s="188"/>
      <c r="Q78" s="188"/>
      <c r="R78" s="188"/>
      <c r="S78" s="188"/>
      <c r="T78" s="188"/>
      <c r="U78" s="188"/>
      <c r="V78" s="188"/>
      <c r="W78" s="188"/>
      <c r="X78" s="188"/>
      <c r="Y78" s="189"/>
    </row>
    <row r="79" spans="1:25" x14ac:dyDescent="0.2">
      <c r="A79" s="243"/>
      <c r="B79" s="242" t="s">
        <v>243</v>
      </c>
      <c r="C79" s="243"/>
      <c r="D79" s="205">
        <f>D80+D81+D82+D83</f>
        <v>26.119999999999997</v>
      </c>
      <c r="E79" s="205">
        <f t="shared" ref="E79:G79" si="10">E80+E81+E82+E83</f>
        <v>9.620000000000001</v>
      </c>
      <c r="F79" s="205">
        <f t="shared" si="10"/>
        <v>108.18</v>
      </c>
      <c r="G79" s="205">
        <f t="shared" si="10"/>
        <v>633.1</v>
      </c>
      <c r="H79" s="233"/>
      <c r="I79" s="188"/>
      <c r="J79" s="188"/>
      <c r="K79" s="188"/>
      <c r="L79" s="188"/>
      <c r="M79" s="188"/>
      <c r="N79" s="188"/>
      <c r="O79" s="188"/>
      <c r="P79" s="188"/>
      <c r="Q79" s="188"/>
      <c r="R79" s="188"/>
      <c r="S79" s="188"/>
      <c r="T79" s="188"/>
      <c r="U79" s="188"/>
      <c r="V79" s="188"/>
      <c r="W79" s="188"/>
      <c r="X79" s="188"/>
      <c r="Y79" s="189"/>
    </row>
    <row r="80" spans="1:25" x14ac:dyDescent="0.2">
      <c r="A80" s="198"/>
      <c r="B80" s="199" t="s">
        <v>242</v>
      </c>
      <c r="C80" s="204" t="s">
        <v>260</v>
      </c>
      <c r="D80" s="201">
        <v>0.4</v>
      </c>
      <c r="E80" s="201">
        <v>0.4</v>
      </c>
      <c r="F80" s="201">
        <v>9.8000000000000007</v>
      </c>
      <c r="G80" s="201">
        <v>47</v>
      </c>
      <c r="H80" s="233"/>
      <c r="I80" s="188"/>
      <c r="J80" s="188"/>
      <c r="K80" s="188"/>
      <c r="L80" s="188"/>
      <c r="M80" s="188"/>
      <c r="N80" s="188"/>
      <c r="O80" s="188"/>
      <c r="P80" s="188"/>
      <c r="Q80" s="188"/>
      <c r="R80" s="188"/>
      <c r="S80" s="188"/>
      <c r="T80" s="188"/>
      <c r="U80" s="188"/>
      <c r="V80" s="188"/>
      <c r="W80" s="188"/>
      <c r="X80" s="188"/>
      <c r="Y80" s="189"/>
    </row>
    <row r="81" spans="1:24" ht="25.5" x14ac:dyDescent="0.2">
      <c r="A81" s="229" t="s">
        <v>248</v>
      </c>
      <c r="B81" s="230" t="s">
        <v>247</v>
      </c>
      <c r="C81" s="229" t="s">
        <v>238</v>
      </c>
      <c r="D81" s="231">
        <v>22.68</v>
      </c>
      <c r="E81" s="231">
        <v>8.9</v>
      </c>
      <c r="F81" s="231">
        <v>68.7</v>
      </c>
      <c r="G81" s="231">
        <v>445.76</v>
      </c>
      <c r="H81" s="196"/>
      <c r="I81" s="186"/>
      <c r="J81" s="186"/>
      <c r="K81" s="186"/>
      <c r="L81" s="186"/>
      <c r="M81" s="186"/>
      <c r="N81" s="182"/>
      <c r="O81" s="186"/>
      <c r="P81" s="186"/>
      <c r="Q81" s="186"/>
      <c r="R81" s="186"/>
      <c r="S81" s="186"/>
      <c r="T81" s="186"/>
      <c r="U81" s="186"/>
      <c r="V81" s="186"/>
      <c r="W81" s="186"/>
      <c r="X81" s="186"/>
    </row>
    <row r="82" spans="1:24" x14ac:dyDescent="0.2">
      <c r="A82" s="198" t="s">
        <v>163</v>
      </c>
      <c r="B82" s="199" t="s">
        <v>10</v>
      </c>
      <c r="C82" s="200">
        <v>200</v>
      </c>
      <c r="D82" s="201">
        <v>0</v>
      </c>
      <c r="E82" s="201">
        <v>0</v>
      </c>
      <c r="F82" s="201">
        <v>10</v>
      </c>
      <c r="G82" s="201">
        <v>42</v>
      </c>
      <c r="H82" s="211"/>
      <c r="I82" s="186"/>
      <c r="J82" s="186"/>
      <c r="K82" s="186"/>
      <c r="L82" s="182"/>
      <c r="M82" s="182"/>
      <c r="N82" s="186"/>
      <c r="O82" s="186"/>
      <c r="P82" s="186"/>
      <c r="Q82" s="186"/>
      <c r="R82" s="186"/>
      <c r="S82" s="186"/>
      <c r="T82" s="186"/>
      <c r="U82" s="186"/>
      <c r="V82" s="186"/>
      <c r="W82" s="186"/>
      <c r="X82" s="186"/>
    </row>
    <row r="83" spans="1:24" x14ac:dyDescent="0.2">
      <c r="A83" s="198"/>
      <c r="B83" s="199" t="s">
        <v>11</v>
      </c>
      <c r="C83" s="204">
        <v>40</v>
      </c>
      <c r="D83" s="201">
        <v>3.04</v>
      </c>
      <c r="E83" s="201">
        <v>0.32</v>
      </c>
      <c r="F83" s="201">
        <v>19.68</v>
      </c>
      <c r="G83" s="201">
        <v>98.34</v>
      </c>
      <c r="H83" s="196"/>
      <c r="I83" s="186"/>
      <c r="J83" s="186"/>
      <c r="K83" s="186"/>
      <c r="L83" s="186"/>
      <c r="M83" s="186"/>
      <c r="N83" s="182"/>
      <c r="O83" s="182"/>
      <c r="P83" s="182"/>
      <c r="Q83" s="182"/>
      <c r="R83" s="182"/>
      <c r="S83" s="182"/>
      <c r="T83" s="182"/>
      <c r="U83" s="186"/>
      <c r="V83" s="182"/>
      <c r="W83" s="182"/>
      <c r="X83" s="186"/>
    </row>
    <row r="84" spans="1:24" x14ac:dyDescent="0.2">
      <c r="A84" s="198"/>
      <c r="B84" s="199"/>
      <c r="C84" s="204"/>
      <c r="D84" s="201"/>
      <c r="E84" s="201"/>
      <c r="F84" s="201"/>
      <c r="G84" s="201"/>
      <c r="H84" s="217"/>
      <c r="I84" s="186"/>
      <c r="J84" s="186"/>
      <c r="K84" s="187"/>
      <c r="L84" s="182"/>
      <c r="M84" s="182"/>
      <c r="N84" s="182"/>
      <c r="O84" s="182"/>
      <c r="P84" s="182"/>
      <c r="Q84" s="182"/>
      <c r="R84" s="182"/>
      <c r="S84" s="182"/>
      <c r="T84" s="182"/>
      <c r="U84" s="186"/>
      <c r="V84" s="182"/>
      <c r="W84" s="182"/>
      <c r="X84" s="187"/>
    </row>
    <row r="85" spans="1:24" x14ac:dyDescent="0.2">
      <c r="A85" s="250" t="s">
        <v>217</v>
      </c>
      <c r="B85" s="251"/>
      <c r="C85" s="210">
        <v>580</v>
      </c>
      <c r="D85" s="204"/>
      <c r="E85" s="204"/>
      <c r="F85" s="204"/>
      <c r="G85" s="204"/>
      <c r="H85" s="218"/>
      <c r="I85" s="190"/>
      <c r="J85" s="190"/>
      <c r="K85" s="190"/>
      <c r="L85" s="192"/>
      <c r="M85" s="192"/>
      <c r="N85" s="191"/>
      <c r="O85" s="191"/>
      <c r="P85" s="191"/>
      <c r="Q85" s="191"/>
      <c r="R85" s="191"/>
      <c r="S85" s="191"/>
      <c r="T85" s="191"/>
      <c r="U85" s="192"/>
      <c r="V85" s="191"/>
      <c r="W85" s="191"/>
      <c r="X85" s="192"/>
    </row>
    <row r="86" spans="1:24" x14ac:dyDescent="0.2">
      <c r="A86" s="196"/>
      <c r="B86" s="241"/>
      <c r="C86" s="196"/>
      <c r="D86" s="196"/>
      <c r="E86" s="196"/>
      <c r="F86" s="196"/>
      <c r="G86" s="196"/>
      <c r="H86" s="211"/>
    </row>
    <row r="87" spans="1:24" x14ac:dyDescent="0.2">
      <c r="A87" s="196"/>
      <c r="B87" s="241"/>
      <c r="C87" s="196"/>
      <c r="D87" s="196"/>
      <c r="E87" s="196"/>
      <c r="F87" s="196"/>
      <c r="G87" s="196"/>
      <c r="H87" s="211"/>
    </row>
    <row r="88" spans="1:24" x14ac:dyDescent="0.2">
      <c r="A88" s="196"/>
      <c r="B88" s="241"/>
      <c r="C88" s="196"/>
      <c r="D88" s="196"/>
      <c r="E88" s="196"/>
      <c r="F88" s="196"/>
      <c r="G88" s="196"/>
    </row>
    <row r="89" spans="1:24" x14ac:dyDescent="0.2">
      <c r="A89" s="196"/>
      <c r="B89" s="241"/>
      <c r="C89" s="196"/>
      <c r="D89" s="196"/>
      <c r="E89" s="196"/>
      <c r="F89" s="196"/>
      <c r="G89" s="196"/>
    </row>
    <row r="90" spans="1:24" x14ac:dyDescent="0.2">
      <c r="A90" s="196"/>
      <c r="B90" s="241"/>
      <c r="C90" s="196"/>
      <c r="D90" s="196"/>
      <c r="E90" s="196"/>
      <c r="F90" s="196"/>
      <c r="G90" s="196"/>
    </row>
    <row r="91" spans="1:24" x14ac:dyDescent="0.2">
      <c r="A91" s="196"/>
      <c r="B91" s="241"/>
      <c r="C91" s="196"/>
      <c r="D91" s="196"/>
      <c r="E91" s="196"/>
      <c r="F91" s="196"/>
      <c r="G91" s="196"/>
    </row>
    <row r="92" spans="1:24" x14ac:dyDescent="0.2">
      <c r="A92" s="196"/>
      <c r="B92" s="241"/>
      <c r="C92" s="196"/>
      <c r="D92" s="196"/>
      <c r="E92" s="196"/>
      <c r="F92" s="196"/>
      <c r="G92" s="196"/>
    </row>
    <row r="93" spans="1:24" x14ac:dyDescent="0.2">
      <c r="A93" s="196"/>
      <c r="B93" s="241"/>
      <c r="C93" s="196"/>
      <c r="D93" s="196"/>
      <c r="E93" s="196"/>
      <c r="F93" s="196"/>
      <c r="G93" s="196"/>
    </row>
    <row r="94" spans="1:24" x14ac:dyDescent="0.2">
      <c r="A94" s="196"/>
      <c r="B94" s="241"/>
      <c r="C94" s="196"/>
      <c r="D94" s="196"/>
      <c r="E94" s="196"/>
      <c r="F94" s="196"/>
      <c r="G94" s="196"/>
    </row>
    <row r="95" spans="1:24" x14ac:dyDescent="0.2">
      <c r="A95" s="196"/>
      <c r="B95" s="241"/>
      <c r="C95" s="196"/>
      <c r="D95" s="196"/>
      <c r="E95" s="196"/>
      <c r="F95" s="196"/>
      <c r="G95" s="196"/>
    </row>
    <row r="96" spans="1:24" x14ac:dyDescent="0.2">
      <c r="A96" s="196"/>
      <c r="B96" s="241"/>
      <c r="C96" s="196"/>
      <c r="D96" s="196"/>
      <c r="E96" s="196"/>
      <c r="F96" s="196"/>
      <c r="G96" s="196"/>
    </row>
    <row r="97" spans="1:7" x14ac:dyDescent="0.2">
      <c r="A97" s="196"/>
      <c r="B97" s="241"/>
      <c r="C97" s="196"/>
      <c r="D97" s="196"/>
      <c r="E97" s="196"/>
      <c r="F97" s="196"/>
      <c r="G97" s="196"/>
    </row>
    <row r="98" spans="1:7" x14ac:dyDescent="0.2">
      <c r="A98" s="196"/>
      <c r="B98" s="241"/>
      <c r="C98" s="196"/>
      <c r="D98" s="196"/>
      <c r="E98" s="196"/>
      <c r="F98" s="196"/>
      <c r="G98" s="196"/>
    </row>
    <row r="99" spans="1:7" x14ac:dyDescent="0.2">
      <c r="A99" s="196"/>
      <c r="B99" s="241"/>
      <c r="C99" s="196"/>
      <c r="D99" s="196"/>
      <c r="E99" s="196"/>
      <c r="F99" s="196"/>
      <c r="G99" s="196"/>
    </row>
    <row r="100" spans="1:7" x14ac:dyDescent="0.2">
      <c r="A100" s="196"/>
      <c r="B100" s="241"/>
      <c r="C100" s="196"/>
      <c r="D100" s="196"/>
      <c r="E100" s="196"/>
      <c r="F100" s="196"/>
      <c r="G100" s="196"/>
    </row>
    <row r="101" spans="1:7" x14ac:dyDescent="0.2">
      <c r="A101" s="196"/>
      <c r="B101" s="241"/>
      <c r="C101" s="196"/>
      <c r="D101" s="196"/>
      <c r="E101" s="196"/>
      <c r="F101" s="196"/>
      <c r="G101" s="196"/>
    </row>
    <row r="102" spans="1:7" x14ac:dyDescent="0.2">
      <c r="A102" s="196"/>
      <c r="B102" s="241"/>
      <c r="C102" s="196"/>
      <c r="D102" s="196"/>
      <c r="E102" s="196"/>
      <c r="F102" s="196"/>
      <c r="G102" s="196"/>
    </row>
    <row r="103" spans="1:7" x14ac:dyDescent="0.2">
      <c r="A103" s="196"/>
      <c r="B103" s="241"/>
      <c r="C103" s="196"/>
      <c r="D103" s="196"/>
      <c r="E103" s="196"/>
      <c r="F103" s="196"/>
      <c r="G103" s="196"/>
    </row>
    <row r="104" spans="1:7" x14ac:dyDescent="0.2">
      <c r="A104" s="196"/>
      <c r="B104" s="241"/>
      <c r="C104" s="196"/>
      <c r="D104" s="196"/>
      <c r="E104" s="196"/>
      <c r="F104" s="196"/>
      <c r="G104" s="196"/>
    </row>
    <row r="105" spans="1:7" x14ac:dyDescent="0.2">
      <c r="A105" s="196"/>
      <c r="B105" s="241"/>
      <c r="C105" s="196"/>
      <c r="D105" s="196"/>
      <c r="E105" s="196"/>
      <c r="F105" s="196"/>
      <c r="G105" s="196"/>
    </row>
    <row r="106" spans="1:7" x14ac:dyDescent="0.2">
      <c r="A106" s="196"/>
      <c r="B106" s="241"/>
      <c r="C106" s="196"/>
      <c r="D106" s="196"/>
      <c r="E106" s="196"/>
      <c r="F106" s="196"/>
      <c r="G106" s="196"/>
    </row>
    <row r="107" spans="1:7" x14ac:dyDescent="0.2">
      <c r="A107" s="196"/>
      <c r="B107" s="241"/>
      <c r="C107" s="196"/>
      <c r="D107" s="196"/>
      <c r="E107" s="196"/>
      <c r="F107" s="196"/>
      <c r="G107" s="196"/>
    </row>
    <row r="108" spans="1:7" x14ac:dyDescent="0.2">
      <c r="A108" s="196"/>
      <c r="B108" s="241"/>
      <c r="C108" s="196"/>
      <c r="D108" s="196"/>
      <c r="E108" s="196"/>
      <c r="F108" s="196"/>
      <c r="G108" s="196"/>
    </row>
    <row r="109" spans="1:7" x14ac:dyDescent="0.2">
      <c r="A109" s="196"/>
      <c r="B109" s="241"/>
      <c r="C109" s="196"/>
      <c r="D109" s="196"/>
      <c r="E109" s="196"/>
      <c r="F109" s="196"/>
      <c r="G109" s="196"/>
    </row>
    <row r="110" spans="1:7" x14ac:dyDescent="0.2">
      <c r="A110" s="196"/>
      <c r="B110" s="241"/>
      <c r="C110" s="196"/>
      <c r="D110" s="196"/>
      <c r="E110" s="196"/>
      <c r="F110" s="196"/>
      <c r="G110" s="196"/>
    </row>
    <row r="111" spans="1:7" x14ac:dyDescent="0.2">
      <c r="A111" s="196"/>
      <c r="B111" s="241"/>
      <c r="C111" s="196"/>
      <c r="D111" s="196"/>
      <c r="E111" s="196"/>
      <c r="F111" s="196"/>
      <c r="G111" s="196"/>
    </row>
    <row r="112" spans="1:7" x14ac:dyDescent="0.2">
      <c r="A112" s="196"/>
      <c r="B112" s="241"/>
      <c r="C112" s="196"/>
      <c r="D112" s="196"/>
      <c r="E112" s="196"/>
      <c r="F112" s="196"/>
      <c r="G112" s="196"/>
    </row>
    <row r="113" spans="1:7" x14ac:dyDescent="0.2">
      <c r="A113" s="196"/>
      <c r="B113" s="241"/>
      <c r="C113" s="196"/>
      <c r="D113" s="196"/>
      <c r="E113" s="196"/>
      <c r="F113" s="196"/>
      <c r="G113" s="196"/>
    </row>
    <row r="114" spans="1:7" x14ac:dyDescent="0.2">
      <c r="A114" s="196"/>
      <c r="B114" s="241"/>
      <c r="C114" s="196"/>
      <c r="D114" s="196"/>
      <c r="E114" s="196"/>
      <c r="F114" s="196"/>
      <c r="G114" s="196"/>
    </row>
    <row r="115" spans="1:7" x14ac:dyDescent="0.2">
      <c r="A115" s="196"/>
      <c r="B115" s="241"/>
      <c r="C115" s="196"/>
      <c r="D115" s="196"/>
      <c r="E115" s="196"/>
      <c r="F115" s="196"/>
      <c r="G115" s="196"/>
    </row>
    <row r="116" spans="1:7" x14ac:dyDescent="0.2">
      <c r="A116" s="196"/>
      <c r="B116" s="241"/>
      <c r="C116" s="196"/>
      <c r="D116" s="196"/>
      <c r="E116" s="196"/>
      <c r="F116" s="196"/>
      <c r="G116" s="196"/>
    </row>
    <row r="117" spans="1:7" x14ac:dyDescent="0.2">
      <c r="A117" s="196"/>
      <c r="B117" s="241"/>
      <c r="C117" s="196"/>
      <c r="D117" s="196"/>
      <c r="E117" s="196"/>
      <c r="F117" s="196"/>
      <c r="G117" s="196"/>
    </row>
    <row r="118" spans="1:7" x14ac:dyDescent="0.2">
      <c r="A118" s="196"/>
      <c r="B118" s="241"/>
      <c r="C118" s="196"/>
      <c r="D118" s="196"/>
      <c r="E118" s="196"/>
      <c r="F118" s="196"/>
      <c r="G118" s="196"/>
    </row>
    <row r="119" spans="1:7" x14ac:dyDescent="0.2">
      <c r="A119" s="196"/>
      <c r="B119" s="241"/>
      <c r="C119" s="196"/>
      <c r="D119" s="196"/>
      <c r="E119" s="196"/>
      <c r="F119" s="196"/>
      <c r="G119" s="196"/>
    </row>
    <row r="120" spans="1:7" x14ac:dyDescent="0.2">
      <c r="A120" s="196"/>
      <c r="B120" s="241"/>
      <c r="C120" s="196"/>
      <c r="D120" s="196"/>
      <c r="E120" s="196"/>
      <c r="F120" s="196"/>
      <c r="G120" s="196"/>
    </row>
    <row r="121" spans="1:7" x14ac:dyDescent="0.2">
      <c r="A121" s="196"/>
      <c r="B121" s="241"/>
      <c r="C121" s="196"/>
      <c r="D121" s="196"/>
      <c r="E121" s="196"/>
      <c r="F121" s="196"/>
      <c r="G121" s="196"/>
    </row>
    <row r="122" spans="1:7" x14ac:dyDescent="0.2">
      <c r="A122" s="196"/>
      <c r="B122" s="241"/>
      <c r="C122" s="196"/>
      <c r="D122" s="196"/>
      <c r="E122" s="196"/>
      <c r="F122" s="196"/>
      <c r="G122" s="196"/>
    </row>
    <row r="123" spans="1:7" x14ac:dyDescent="0.2">
      <c r="A123" s="196"/>
      <c r="B123" s="241"/>
      <c r="C123" s="196"/>
      <c r="D123" s="196"/>
      <c r="E123" s="196"/>
      <c r="F123" s="196"/>
      <c r="G123" s="196"/>
    </row>
    <row r="124" spans="1:7" x14ac:dyDescent="0.2">
      <c r="A124" s="196"/>
      <c r="B124" s="241"/>
      <c r="C124" s="196"/>
      <c r="D124" s="196"/>
      <c r="E124" s="196"/>
      <c r="F124" s="196"/>
      <c r="G124" s="196"/>
    </row>
    <row r="125" spans="1:7" x14ac:dyDescent="0.2">
      <c r="A125" s="196"/>
      <c r="B125" s="241"/>
      <c r="C125" s="196"/>
      <c r="D125" s="196"/>
      <c r="E125" s="196"/>
      <c r="F125" s="196"/>
      <c r="G125" s="196"/>
    </row>
    <row r="126" spans="1:7" x14ac:dyDescent="0.2">
      <c r="A126" s="196"/>
      <c r="B126" s="241"/>
      <c r="C126" s="196"/>
      <c r="D126" s="196"/>
      <c r="E126" s="196"/>
      <c r="F126" s="196"/>
      <c r="G126" s="196"/>
    </row>
    <row r="127" spans="1:7" x14ac:dyDescent="0.2">
      <c r="A127" s="196"/>
      <c r="B127" s="241"/>
      <c r="C127" s="196"/>
      <c r="D127" s="196"/>
      <c r="E127" s="196"/>
      <c r="F127" s="196"/>
      <c r="G127" s="196"/>
    </row>
    <row r="128" spans="1:7" x14ac:dyDescent="0.2">
      <c r="A128" s="196"/>
      <c r="B128" s="241"/>
      <c r="C128" s="196"/>
      <c r="D128" s="196"/>
      <c r="E128" s="196"/>
      <c r="F128" s="196"/>
      <c r="G128" s="196"/>
    </row>
    <row r="129" spans="1:7" x14ac:dyDescent="0.2">
      <c r="A129" s="196"/>
      <c r="B129" s="241"/>
      <c r="C129" s="196"/>
      <c r="D129" s="196"/>
      <c r="E129" s="196"/>
      <c r="F129" s="196"/>
      <c r="G129" s="196"/>
    </row>
    <row r="130" spans="1:7" x14ac:dyDescent="0.2">
      <c r="A130" s="196"/>
      <c r="B130" s="241"/>
      <c r="C130" s="196"/>
      <c r="D130" s="196"/>
      <c r="E130" s="196"/>
      <c r="F130" s="196"/>
      <c r="G130" s="196"/>
    </row>
    <row r="131" spans="1:7" x14ac:dyDescent="0.2">
      <c r="A131" s="196"/>
      <c r="B131" s="241"/>
      <c r="C131" s="196"/>
      <c r="D131" s="196"/>
      <c r="E131" s="196"/>
      <c r="F131" s="196"/>
      <c r="G131" s="196"/>
    </row>
    <row r="132" spans="1:7" x14ac:dyDescent="0.2">
      <c r="A132" s="196"/>
      <c r="B132" s="241"/>
      <c r="C132" s="196"/>
      <c r="D132" s="196"/>
      <c r="E132" s="196"/>
      <c r="F132" s="196"/>
      <c r="G132" s="196"/>
    </row>
    <row r="133" spans="1:7" x14ac:dyDescent="0.2">
      <c r="A133" s="196"/>
      <c r="B133" s="241"/>
      <c r="C133" s="196"/>
      <c r="D133" s="196"/>
      <c r="E133" s="196"/>
      <c r="F133" s="196"/>
      <c r="G133" s="196"/>
    </row>
    <row r="134" spans="1:7" x14ac:dyDescent="0.2">
      <c r="A134" s="196"/>
      <c r="B134" s="241"/>
      <c r="C134" s="196"/>
      <c r="D134" s="196"/>
      <c r="E134" s="196"/>
      <c r="F134" s="196"/>
      <c r="G134" s="196"/>
    </row>
    <row r="135" spans="1:7" x14ac:dyDescent="0.2">
      <c r="A135" s="196"/>
      <c r="B135" s="241"/>
      <c r="C135" s="196"/>
      <c r="D135" s="196"/>
      <c r="E135" s="196"/>
      <c r="F135" s="196"/>
      <c r="G135" s="196"/>
    </row>
    <row r="136" spans="1:7" x14ac:dyDescent="0.2">
      <c r="A136" s="196"/>
      <c r="B136" s="241"/>
      <c r="C136" s="196"/>
      <c r="D136" s="196"/>
      <c r="E136" s="196"/>
      <c r="F136" s="196"/>
      <c r="G136" s="196"/>
    </row>
    <row r="137" spans="1:7" x14ac:dyDescent="0.2">
      <c r="A137" s="196"/>
      <c r="B137" s="241"/>
      <c r="C137" s="196"/>
      <c r="D137" s="196"/>
      <c r="E137" s="196"/>
      <c r="F137" s="196"/>
      <c r="G137" s="196"/>
    </row>
    <row r="138" spans="1:7" x14ac:dyDescent="0.2">
      <c r="A138" s="196"/>
      <c r="B138" s="241"/>
      <c r="C138" s="196"/>
      <c r="D138" s="196"/>
      <c r="E138" s="196"/>
      <c r="F138" s="196"/>
      <c r="G138" s="196"/>
    </row>
    <row r="139" spans="1:7" x14ac:dyDescent="0.2">
      <c r="A139" s="196"/>
      <c r="B139" s="241"/>
      <c r="C139" s="196"/>
      <c r="D139" s="196"/>
      <c r="E139" s="196"/>
      <c r="F139" s="196"/>
      <c r="G139" s="196"/>
    </row>
    <row r="140" spans="1:7" x14ac:dyDescent="0.2">
      <c r="A140" s="196"/>
      <c r="B140" s="241"/>
      <c r="C140" s="196"/>
      <c r="D140" s="196"/>
      <c r="E140" s="196"/>
      <c r="F140" s="196"/>
      <c r="G140" s="196"/>
    </row>
    <row r="141" spans="1:7" x14ac:dyDescent="0.2">
      <c r="A141" s="196"/>
      <c r="B141" s="241"/>
      <c r="C141" s="196"/>
      <c r="D141" s="196"/>
      <c r="E141" s="196"/>
      <c r="F141" s="196"/>
      <c r="G141" s="196"/>
    </row>
    <row r="142" spans="1:7" x14ac:dyDescent="0.2">
      <c r="A142" s="196"/>
      <c r="B142" s="241"/>
      <c r="C142" s="196"/>
      <c r="D142" s="196"/>
      <c r="E142" s="196"/>
      <c r="F142" s="196"/>
      <c r="G142" s="196"/>
    </row>
    <row r="143" spans="1:7" x14ac:dyDescent="0.2">
      <c r="A143" s="196"/>
      <c r="B143" s="241"/>
      <c r="C143" s="196"/>
      <c r="D143" s="196"/>
      <c r="E143" s="196"/>
      <c r="F143" s="196"/>
      <c r="G143" s="196"/>
    </row>
    <row r="144" spans="1:7" x14ac:dyDescent="0.2">
      <c r="A144" s="196"/>
      <c r="B144" s="241"/>
      <c r="C144" s="196"/>
      <c r="D144" s="196"/>
      <c r="E144" s="196"/>
      <c r="F144" s="196"/>
      <c r="G144" s="196"/>
    </row>
    <row r="145" spans="1:7" x14ac:dyDescent="0.2">
      <c r="A145" s="196"/>
      <c r="B145" s="241"/>
      <c r="C145" s="196"/>
      <c r="D145" s="196"/>
      <c r="E145" s="196"/>
      <c r="F145" s="196"/>
      <c r="G145" s="196"/>
    </row>
    <row r="146" spans="1:7" x14ac:dyDescent="0.2">
      <c r="A146" s="196"/>
      <c r="B146" s="241"/>
      <c r="C146" s="196"/>
      <c r="D146" s="196"/>
      <c r="E146" s="196"/>
      <c r="F146" s="196"/>
      <c r="G146" s="196"/>
    </row>
    <row r="147" spans="1:7" x14ac:dyDescent="0.2">
      <c r="A147" s="196"/>
      <c r="B147" s="241"/>
      <c r="C147" s="196"/>
      <c r="D147" s="196"/>
      <c r="E147" s="196"/>
      <c r="F147" s="196"/>
      <c r="G147" s="196"/>
    </row>
    <row r="148" spans="1:7" x14ac:dyDescent="0.2">
      <c r="A148" s="196"/>
      <c r="B148" s="241"/>
      <c r="C148" s="196"/>
      <c r="D148" s="196"/>
      <c r="E148" s="196"/>
      <c r="F148" s="196"/>
      <c r="G148" s="196"/>
    </row>
    <row r="149" spans="1:7" x14ac:dyDescent="0.2">
      <c r="A149" s="196"/>
      <c r="B149" s="238"/>
      <c r="C149" s="196"/>
      <c r="D149" s="196"/>
      <c r="E149" s="196"/>
      <c r="F149" s="196"/>
      <c r="G149" s="196"/>
    </row>
    <row r="150" spans="1:7" x14ac:dyDescent="0.2">
      <c r="A150" s="196"/>
      <c r="B150" s="238"/>
      <c r="C150" s="196"/>
      <c r="D150" s="196"/>
      <c r="E150" s="196"/>
      <c r="F150" s="196"/>
      <c r="G150" s="196"/>
    </row>
    <row r="151" spans="1:7" x14ac:dyDescent="0.2">
      <c r="A151" s="196"/>
      <c r="B151" s="232"/>
      <c r="C151" s="196"/>
      <c r="D151" s="196"/>
      <c r="E151" s="196"/>
      <c r="F151" s="196"/>
      <c r="G151" s="196"/>
    </row>
    <row r="152" spans="1:7" x14ac:dyDescent="0.2">
      <c r="A152" s="196"/>
      <c r="B152" s="232"/>
      <c r="C152" s="196"/>
      <c r="D152" s="196"/>
      <c r="E152" s="196"/>
      <c r="F152" s="196"/>
      <c r="G152" s="196"/>
    </row>
    <row r="153" spans="1:7" x14ac:dyDescent="0.2">
      <c r="A153" s="196"/>
      <c r="B153" s="232"/>
      <c r="C153" s="196"/>
      <c r="D153" s="196"/>
      <c r="E153" s="196"/>
      <c r="F153" s="196"/>
      <c r="G153" s="196"/>
    </row>
    <row r="154" spans="1:7" x14ac:dyDescent="0.2">
      <c r="A154" s="196"/>
      <c r="B154" s="232"/>
      <c r="C154" s="196"/>
      <c r="D154" s="196"/>
      <c r="E154" s="196"/>
      <c r="F154" s="196"/>
      <c r="G154" s="196"/>
    </row>
    <row r="155" spans="1:7" x14ac:dyDescent="0.2">
      <c r="A155" s="196"/>
      <c r="B155" s="232"/>
      <c r="C155" s="196"/>
      <c r="D155" s="196"/>
      <c r="E155" s="196"/>
      <c r="F155" s="196"/>
      <c r="G155" s="196"/>
    </row>
    <row r="156" spans="1:7" x14ac:dyDescent="0.2">
      <c r="A156" s="196"/>
      <c r="B156" s="232"/>
      <c r="C156" s="196"/>
      <c r="D156" s="196"/>
      <c r="E156" s="196"/>
      <c r="F156" s="196"/>
      <c r="G156" s="196"/>
    </row>
    <row r="157" spans="1:7" x14ac:dyDescent="0.2">
      <c r="A157" s="196"/>
      <c r="B157" s="232"/>
      <c r="C157" s="196"/>
      <c r="D157" s="196"/>
      <c r="E157" s="196"/>
      <c r="F157" s="196"/>
      <c r="G157" s="196"/>
    </row>
    <row r="158" spans="1:7" x14ac:dyDescent="0.2">
      <c r="A158" s="196"/>
      <c r="B158" s="232"/>
      <c r="C158" s="196"/>
      <c r="D158" s="196"/>
      <c r="E158" s="196"/>
      <c r="F158" s="196"/>
      <c r="G158" s="196"/>
    </row>
    <row r="159" spans="1:7" x14ac:dyDescent="0.2">
      <c r="A159" s="196"/>
      <c r="B159" s="232"/>
      <c r="C159" s="196"/>
      <c r="D159" s="196"/>
      <c r="E159" s="196"/>
      <c r="F159" s="196"/>
      <c r="G159" s="196"/>
    </row>
  </sheetData>
  <mergeCells count="26">
    <mergeCell ref="A85:B85"/>
    <mergeCell ref="A56:C56"/>
    <mergeCell ref="A62:B62"/>
    <mergeCell ref="A63:C63"/>
    <mergeCell ref="A71:C71"/>
    <mergeCell ref="A77:B77"/>
    <mergeCell ref="A78:C78"/>
    <mergeCell ref="A55:B55"/>
    <mergeCell ref="A8:C8"/>
    <mergeCell ref="A17:B17"/>
    <mergeCell ref="A18:C18"/>
    <mergeCell ref="A24:B24"/>
    <mergeCell ref="A25:C25"/>
    <mergeCell ref="A31:B31"/>
    <mergeCell ref="A32:C32"/>
    <mergeCell ref="A38:B38"/>
    <mergeCell ref="A41:C41"/>
    <mergeCell ref="A47:B47"/>
    <mergeCell ref="A48:C48"/>
    <mergeCell ref="A1:G2"/>
    <mergeCell ref="A3:G4"/>
    <mergeCell ref="A5:A6"/>
    <mergeCell ref="B5:B6"/>
    <mergeCell ref="C5:C6"/>
    <mergeCell ref="D5:F5"/>
    <mergeCell ref="G5:G6"/>
  </mergeCells>
  <pageMargins left="0.75" right="0.75" top="1" bottom="1" header="0.5" footer="0.5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K159"/>
  <sheetViews>
    <sheetView topLeftCell="A127" zoomScale="136" zoomScaleNormal="136" workbookViewId="0">
      <selection activeCell="B155" sqref="B155"/>
    </sheetView>
  </sheetViews>
  <sheetFormatPr defaultRowHeight="12.75" x14ac:dyDescent="0.2"/>
  <cols>
    <col min="1" max="1" width="11" style="1" customWidth="1"/>
    <col min="2" max="2" width="32.85546875" style="2" customWidth="1"/>
    <col min="3" max="3" width="7.85546875" style="2" customWidth="1"/>
    <col min="4" max="4" width="7.28515625" style="2" customWidth="1"/>
    <col min="5" max="5" width="7.7109375" style="2" customWidth="1"/>
    <col min="6" max="6" width="7.42578125" style="2" customWidth="1"/>
    <col min="7" max="7" width="8.5703125" style="2" customWidth="1"/>
    <col min="8" max="8" width="5.5703125" style="2" hidden="1" customWidth="1"/>
    <col min="9" max="9" width="6.5703125" style="2" hidden="1" customWidth="1"/>
    <col min="10" max="10" width="7.42578125" style="2" hidden="1" customWidth="1"/>
    <col min="11" max="11" width="7" style="2" hidden="1" customWidth="1"/>
    <col min="12" max="12" width="6.7109375" style="2" hidden="1" customWidth="1"/>
    <col min="13" max="13" width="6.28515625" style="2" hidden="1" customWidth="1"/>
    <col min="14" max="14" width="5.85546875" style="2" hidden="1" customWidth="1"/>
    <col min="15" max="16" width="9.140625" style="2" hidden="1" customWidth="1"/>
    <col min="17" max="17" width="14.28515625" style="2" hidden="1" customWidth="1"/>
    <col min="18" max="18" width="0" style="2" hidden="1" customWidth="1"/>
    <col min="19" max="16384" width="9.140625" style="2"/>
  </cols>
  <sheetData>
    <row r="1" spans="1:17" x14ac:dyDescent="0.2">
      <c r="B1" s="2" t="s">
        <v>197</v>
      </c>
      <c r="C1" s="266" t="s">
        <v>176</v>
      </c>
      <c r="D1" s="266"/>
      <c r="E1" s="266"/>
      <c r="F1" s="266"/>
      <c r="G1" s="266"/>
      <c r="H1" s="266"/>
      <c r="I1" s="266"/>
      <c r="J1" s="266"/>
    </row>
    <row r="2" spans="1:17" x14ac:dyDescent="0.2">
      <c r="B2" s="2" t="s">
        <v>195</v>
      </c>
      <c r="C2" s="267"/>
      <c r="D2" s="267"/>
      <c r="E2" s="267"/>
      <c r="F2" s="267"/>
      <c r="G2" s="267"/>
      <c r="H2" s="267"/>
      <c r="I2" s="267"/>
      <c r="J2" s="267"/>
    </row>
    <row r="3" spans="1:17" ht="33.75" customHeight="1" x14ac:dyDescent="0.2">
      <c r="A3" s="3" t="s">
        <v>0</v>
      </c>
      <c r="B3" s="4" t="s">
        <v>6</v>
      </c>
      <c r="C3" s="5" t="s">
        <v>14</v>
      </c>
      <c r="D3" s="268" t="s">
        <v>16</v>
      </c>
      <c r="E3" s="269"/>
      <c r="F3" s="270"/>
      <c r="G3" s="271" t="s">
        <v>23</v>
      </c>
      <c r="H3" s="273" t="s">
        <v>53</v>
      </c>
      <c r="I3" s="274"/>
      <c r="J3" s="175" t="s">
        <v>52</v>
      </c>
      <c r="K3" s="263" t="s">
        <v>75</v>
      </c>
      <c r="L3" s="264"/>
      <c r="M3" s="264"/>
      <c r="N3" s="265"/>
    </row>
    <row r="4" spans="1:17" ht="34.5" customHeight="1" x14ac:dyDescent="0.2">
      <c r="A4" s="6" t="s">
        <v>1</v>
      </c>
      <c r="B4" s="7" t="s">
        <v>7</v>
      </c>
      <c r="C4" s="8" t="s">
        <v>61</v>
      </c>
      <c r="D4" s="9" t="s">
        <v>17</v>
      </c>
      <c r="E4" s="9" t="s">
        <v>19</v>
      </c>
      <c r="F4" s="10" t="s">
        <v>21</v>
      </c>
      <c r="G4" s="272"/>
      <c r="H4" s="11" t="s">
        <v>54</v>
      </c>
      <c r="I4" s="12" t="s">
        <v>55</v>
      </c>
      <c r="J4" s="13" t="s">
        <v>56</v>
      </c>
      <c r="K4" s="11" t="s">
        <v>57</v>
      </c>
      <c r="L4" s="11" t="s">
        <v>58</v>
      </c>
      <c r="M4" s="11" t="s">
        <v>59</v>
      </c>
      <c r="N4" s="11" t="s">
        <v>60</v>
      </c>
    </row>
    <row r="5" spans="1:17" x14ac:dyDescent="0.2">
      <c r="A5" s="14" t="s">
        <v>2</v>
      </c>
      <c r="B5" s="15" t="s">
        <v>8</v>
      </c>
      <c r="C5" s="16" t="s">
        <v>15</v>
      </c>
      <c r="D5" s="15" t="s">
        <v>18</v>
      </c>
      <c r="E5" s="16" t="s">
        <v>20</v>
      </c>
      <c r="F5" s="16" t="s">
        <v>22</v>
      </c>
      <c r="G5" s="16" t="s">
        <v>24</v>
      </c>
      <c r="H5" s="17" t="s">
        <v>25</v>
      </c>
      <c r="I5" s="17" t="s">
        <v>26</v>
      </c>
      <c r="J5" s="17">
        <v>11</v>
      </c>
      <c r="K5" s="17">
        <v>18</v>
      </c>
      <c r="L5" s="17">
        <v>19</v>
      </c>
      <c r="M5" s="17">
        <v>20</v>
      </c>
      <c r="N5" s="17">
        <v>21</v>
      </c>
    </row>
    <row r="6" spans="1:17" x14ac:dyDescent="0.2">
      <c r="A6" s="18" t="s">
        <v>3</v>
      </c>
      <c r="B6" s="262" t="s">
        <v>13</v>
      </c>
      <c r="C6" s="258"/>
      <c r="D6" s="19">
        <f>D7+D17</f>
        <v>42.2</v>
      </c>
      <c r="E6" s="19">
        <f t="shared" ref="E6:O6" si="0">E7+E17</f>
        <v>48.41</v>
      </c>
      <c r="F6" s="19">
        <f t="shared" si="0"/>
        <v>188.9</v>
      </c>
      <c r="G6" s="19">
        <f>G7+G17</f>
        <v>1407.66</v>
      </c>
      <c r="H6" s="19">
        <f t="shared" si="0"/>
        <v>0.55000000000000004</v>
      </c>
      <c r="I6" s="19">
        <f t="shared" si="0"/>
        <v>41.79</v>
      </c>
      <c r="J6" s="19">
        <f t="shared" si="0"/>
        <v>20</v>
      </c>
      <c r="K6" s="19">
        <f t="shared" si="0"/>
        <v>471.98000000000008</v>
      </c>
      <c r="L6" s="19">
        <f t="shared" si="0"/>
        <v>138.25</v>
      </c>
      <c r="M6" s="19">
        <f t="shared" si="0"/>
        <v>86.35</v>
      </c>
      <c r="N6" s="19">
        <f t="shared" si="0"/>
        <v>10.610000000000001</v>
      </c>
      <c r="O6" s="20">
        <f t="shared" si="0"/>
        <v>139.30000000000001</v>
      </c>
    </row>
    <row r="7" spans="1:17" x14ac:dyDescent="0.2">
      <c r="A7" s="21"/>
      <c r="B7" s="257" t="s">
        <v>66</v>
      </c>
      <c r="C7" s="258"/>
      <c r="D7" s="19">
        <f>D8+D9+D10+D11+D12+D13</f>
        <v>17.489999999999998</v>
      </c>
      <c r="E7" s="19">
        <f>E8+E9+E10+E11+E12+E13</f>
        <v>23.469999999999995</v>
      </c>
      <c r="F7" s="19">
        <f>F8+F9+F10+F11+F12+F13</f>
        <v>98.170000000000016</v>
      </c>
      <c r="G7" s="19">
        <f>G8+G9+G10+G11+G12+G13</f>
        <v>698.32</v>
      </c>
      <c r="H7" s="19">
        <f t="shared" ref="H7:N7" si="1">H11+H12+H13+H14+H15</f>
        <v>0.3</v>
      </c>
      <c r="I7" s="19">
        <f t="shared" si="1"/>
        <v>18.309999999999999</v>
      </c>
      <c r="J7" s="19">
        <f t="shared" si="1"/>
        <v>20</v>
      </c>
      <c r="K7" s="19">
        <f t="shared" si="1"/>
        <v>347.50000000000006</v>
      </c>
      <c r="L7" s="19">
        <f t="shared" si="1"/>
        <v>2.87</v>
      </c>
      <c r="M7" s="19">
        <f t="shared" si="1"/>
        <v>40.04</v>
      </c>
      <c r="N7" s="19">
        <f t="shared" si="1"/>
        <v>5.7900000000000009</v>
      </c>
      <c r="O7" s="20">
        <f>O11+O12+O13+O14+O15</f>
        <v>69.7</v>
      </c>
      <c r="Q7" s="2">
        <v>470</v>
      </c>
    </row>
    <row r="8" spans="1:17" x14ac:dyDescent="0.2">
      <c r="A8" s="22" t="s">
        <v>162</v>
      </c>
      <c r="B8" s="154" t="s">
        <v>35</v>
      </c>
      <c r="C8" s="24">
        <v>10</v>
      </c>
      <c r="D8" s="25">
        <v>2.6</v>
      </c>
      <c r="E8" s="25">
        <v>2.65</v>
      </c>
      <c r="F8" s="25">
        <v>0.35</v>
      </c>
      <c r="G8" s="25">
        <v>36.24</v>
      </c>
      <c r="H8" s="19"/>
      <c r="I8" s="19"/>
      <c r="J8" s="19"/>
      <c r="K8" s="19"/>
      <c r="L8" s="19"/>
      <c r="M8" s="19"/>
      <c r="N8" s="19"/>
      <c r="O8" s="26"/>
      <c r="P8" s="2">
        <f>(D8+F8)*4.2+E8*9</f>
        <v>36.239999999999995</v>
      </c>
    </row>
    <row r="9" spans="1:17" x14ac:dyDescent="0.2">
      <c r="A9" s="22" t="s">
        <v>160</v>
      </c>
      <c r="B9" s="50" t="s">
        <v>135</v>
      </c>
      <c r="C9" s="24">
        <v>5</v>
      </c>
      <c r="D9" s="25">
        <v>0.05</v>
      </c>
      <c r="E9" s="25">
        <v>3.63</v>
      </c>
      <c r="F9" s="25">
        <v>7.0000000000000007E-2</v>
      </c>
      <c r="G9" s="25">
        <v>33.11</v>
      </c>
      <c r="H9" s="19"/>
      <c r="I9" s="19"/>
      <c r="J9" s="19"/>
      <c r="K9" s="19"/>
      <c r="L9" s="19"/>
      <c r="M9" s="19"/>
      <c r="N9" s="19"/>
      <c r="O9" s="26"/>
      <c r="P9" s="2">
        <f t="shared" ref="P9:P72" si="2">(D9+F9)*4.2+E9*9</f>
        <v>33.173999999999999</v>
      </c>
    </row>
    <row r="10" spans="1:17" ht="24" x14ac:dyDescent="0.2">
      <c r="A10" s="28" t="s">
        <v>161</v>
      </c>
      <c r="B10" s="29" t="s">
        <v>182</v>
      </c>
      <c r="C10" s="16">
        <v>205</v>
      </c>
      <c r="D10" s="30">
        <v>6.81</v>
      </c>
      <c r="E10" s="30">
        <v>10.45</v>
      </c>
      <c r="F10" s="30">
        <v>29.51</v>
      </c>
      <c r="G10" s="30">
        <v>246.6</v>
      </c>
      <c r="H10" s="19"/>
      <c r="I10" s="19"/>
      <c r="J10" s="19"/>
      <c r="K10" s="19"/>
      <c r="L10" s="19"/>
      <c r="M10" s="19"/>
      <c r="N10" s="19"/>
      <c r="O10" s="26"/>
      <c r="P10" s="2">
        <f t="shared" si="2"/>
        <v>246.59399999999999</v>
      </c>
    </row>
    <row r="11" spans="1:17" x14ac:dyDescent="0.2">
      <c r="A11" s="28"/>
      <c r="B11" s="27" t="s">
        <v>62</v>
      </c>
      <c r="C11" s="37">
        <v>40</v>
      </c>
      <c r="D11" s="57">
        <f>1.5*3/1.5</f>
        <v>3</v>
      </c>
      <c r="E11" s="53">
        <f>2.36*3/1.5</f>
        <v>4.72</v>
      </c>
      <c r="F11" s="57">
        <f>14.98*3/1.5</f>
        <v>29.959999999999997</v>
      </c>
      <c r="G11" s="57">
        <f>91*3/1.5</f>
        <v>182</v>
      </c>
      <c r="H11" s="31" t="s">
        <v>45</v>
      </c>
      <c r="I11" s="31" t="s">
        <v>44</v>
      </c>
      <c r="J11" s="31" t="s">
        <v>46</v>
      </c>
      <c r="K11" s="31" t="s">
        <v>47</v>
      </c>
      <c r="L11" s="31" t="s">
        <v>48</v>
      </c>
      <c r="M11" s="31" t="s">
        <v>49</v>
      </c>
      <c r="N11" s="31" t="s">
        <v>50</v>
      </c>
      <c r="O11" s="2">
        <v>15</v>
      </c>
      <c r="P11" s="2">
        <f t="shared" si="2"/>
        <v>180.91199999999998</v>
      </c>
    </row>
    <row r="12" spans="1:17" x14ac:dyDescent="0.2">
      <c r="A12" s="28" t="s">
        <v>164</v>
      </c>
      <c r="B12" s="29" t="s">
        <v>51</v>
      </c>
      <c r="C12" s="16">
        <v>200</v>
      </c>
      <c r="D12" s="30">
        <v>1.99</v>
      </c>
      <c r="E12" s="30">
        <v>1.7</v>
      </c>
      <c r="F12" s="30">
        <v>18.600000000000001</v>
      </c>
      <c r="G12" s="30">
        <v>102.03</v>
      </c>
      <c r="H12" s="17">
        <v>0.03</v>
      </c>
      <c r="I12" s="17">
        <v>0.65</v>
      </c>
      <c r="J12" s="12"/>
      <c r="K12" s="17">
        <v>64.430000000000007</v>
      </c>
      <c r="L12" s="12"/>
      <c r="M12" s="12"/>
      <c r="N12" s="17">
        <v>0.4</v>
      </c>
      <c r="O12" s="2">
        <v>7.7</v>
      </c>
      <c r="P12" s="2">
        <f t="shared" si="2"/>
        <v>101.77800000000001</v>
      </c>
    </row>
    <row r="13" spans="1:17" x14ac:dyDescent="0.2">
      <c r="A13" s="33"/>
      <c r="B13" s="154" t="s">
        <v>11</v>
      </c>
      <c r="C13" s="24">
        <v>40</v>
      </c>
      <c r="D13" s="148">
        <v>3.04</v>
      </c>
      <c r="E13" s="148">
        <v>0.32</v>
      </c>
      <c r="F13" s="148">
        <v>19.68</v>
      </c>
      <c r="G13" s="148">
        <v>98.34</v>
      </c>
      <c r="H13" s="12"/>
      <c r="I13" s="34">
        <v>0.28000000000000003</v>
      </c>
      <c r="J13" s="12"/>
      <c r="K13" s="34">
        <v>100.5</v>
      </c>
      <c r="L13" s="12"/>
      <c r="M13" s="12"/>
      <c r="N13" s="34">
        <v>0.09</v>
      </c>
      <c r="O13" s="2">
        <v>9</v>
      </c>
      <c r="P13" s="2">
        <f t="shared" si="2"/>
        <v>98.303999999999988</v>
      </c>
    </row>
    <row r="14" spans="1:17" hidden="1" x14ac:dyDescent="0.2">
      <c r="A14" s="35"/>
      <c r="B14" s="27"/>
      <c r="C14" s="36"/>
      <c r="D14" s="57"/>
      <c r="E14" s="30"/>
      <c r="F14" s="57"/>
      <c r="G14" s="57"/>
      <c r="H14" s="17">
        <v>0.04</v>
      </c>
      <c r="I14" s="12"/>
      <c r="J14" s="12"/>
      <c r="K14" s="34">
        <v>7.6</v>
      </c>
      <c r="L14" s="12"/>
      <c r="M14" s="12"/>
      <c r="N14" s="17">
        <v>0.48</v>
      </c>
      <c r="O14" s="2">
        <v>4</v>
      </c>
      <c r="P14" s="2">
        <f t="shared" si="2"/>
        <v>0</v>
      </c>
    </row>
    <row r="15" spans="1:17" hidden="1" x14ac:dyDescent="0.2">
      <c r="A15" s="38"/>
      <c r="B15" s="39"/>
      <c r="C15" s="40"/>
      <c r="D15" s="149"/>
      <c r="E15" s="150"/>
      <c r="F15" s="149"/>
      <c r="G15" s="149"/>
      <c r="H15" s="42">
        <v>0.05</v>
      </c>
      <c r="I15" s="43">
        <v>16</v>
      </c>
      <c r="J15" s="44"/>
      <c r="K15" s="43">
        <v>25.6</v>
      </c>
      <c r="L15" s="44"/>
      <c r="M15" s="44"/>
      <c r="N15" s="43">
        <v>3.52</v>
      </c>
      <c r="O15" s="2">
        <v>34</v>
      </c>
      <c r="P15" s="2">
        <f t="shared" si="2"/>
        <v>0</v>
      </c>
    </row>
    <row r="16" spans="1:17" x14ac:dyDescent="0.2">
      <c r="A16" s="38"/>
      <c r="B16" s="39"/>
      <c r="C16" s="45">
        <f>SUM(C8:C15)</f>
        <v>500</v>
      </c>
      <c r="D16" s="149"/>
      <c r="E16" s="150"/>
      <c r="F16" s="149"/>
      <c r="G16" s="149"/>
      <c r="H16" s="42"/>
      <c r="I16" s="43"/>
      <c r="J16" s="44"/>
      <c r="K16" s="43"/>
      <c r="L16" s="44"/>
      <c r="M16" s="44"/>
      <c r="N16" s="43"/>
      <c r="P16" s="2">
        <f t="shared" si="2"/>
        <v>0</v>
      </c>
    </row>
    <row r="17" spans="1:17" x14ac:dyDescent="0.2">
      <c r="A17" s="46"/>
      <c r="B17" s="259" t="s">
        <v>67</v>
      </c>
      <c r="C17" s="260"/>
      <c r="D17" s="48">
        <f>D18+D19+D20+D21+D22</f>
        <v>24.71</v>
      </c>
      <c r="E17" s="48">
        <f t="shared" ref="E17:O17" si="3">E18+E19+E20+E21+E22</f>
        <v>24.94</v>
      </c>
      <c r="F17" s="48">
        <f t="shared" si="3"/>
        <v>90.72999999999999</v>
      </c>
      <c r="G17" s="48">
        <f>G18+G19+G20+G21+G22</f>
        <v>709.34</v>
      </c>
      <c r="H17" s="48">
        <f t="shared" si="3"/>
        <v>0.25</v>
      </c>
      <c r="I17" s="48">
        <f t="shared" si="3"/>
        <v>23.48</v>
      </c>
      <c r="J17" s="48">
        <f t="shared" si="3"/>
        <v>0</v>
      </c>
      <c r="K17" s="48">
        <f t="shared" si="3"/>
        <v>124.48</v>
      </c>
      <c r="L17" s="48">
        <f t="shared" si="3"/>
        <v>135.38</v>
      </c>
      <c r="M17" s="48">
        <f t="shared" si="3"/>
        <v>46.31</v>
      </c>
      <c r="N17" s="48">
        <f t="shared" si="3"/>
        <v>4.82</v>
      </c>
      <c r="O17" s="48">
        <f t="shared" si="3"/>
        <v>69.599999999999994</v>
      </c>
      <c r="P17" s="2">
        <f t="shared" si="2"/>
        <v>709.30799999999999</v>
      </c>
      <c r="Q17" s="2">
        <v>705</v>
      </c>
    </row>
    <row r="18" spans="1:17" x14ac:dyDescent="0.2">
      <c r="A18" s="49" t="s">
        <v>173</v>
      </c>
      <c r="B18" s="50" t="s">
        <v>136</v>
      </c>
      <c r="C18" s="51">
        <v>60</v>
      </c>
      <c r="D18" s="57">
        <v>0.94</v>
      </c>
      <c r="E18" s="57">
        <v>3.06</v>
      </c>
      <c r="F18" s="57">
        <v>5.66</v>
      </c>
      <c r="G18" s="57">
        <v>55.26</v>
      </c>
      <c r="H18" s="30">
        <v>0.01</v>
      </c>
      <c r="I18" s="30">
        <v>3.99</v>
      </c>
      <c r="J18" s="30"/>
      <c r="K18" s="30">
        <v>21.28</v>
      </c>
      <c r="L18" s="30">
        <v>24.38</v>
      </c>
      <c r="M18" s="30">
        <v>12.42</v>
      </c>
      <c r="N18" s="30">
        <v>0.79</v>
      </c>
      <c r="O18" s="52">
        <v>7.8</v>
      </c>
      <c r="P18" s="2">
        <f t="shared" si="2"/>
        <v>55.26</v>
      </c>
    </row>
    <row r="19" spans="1:17" ht="12.75" customHeight="1" x14ac:dyDescent="0.2">
      <c r="A19" s="28" t="s">
        <v>165</v>
      </c>
      <c r="B19" s="29" t="s">
        <v>188</v>
      </c>
      <c r="C19" s="16">
        <v>200</v>
      </c>
      <c r="D19" s="30">
        <v>3</v>
      </c>
      <c r="E19" s="30">
        <f>4.61-0.21</f>
        <v>4.4000000000000004</v>
      </c>
      <c r="F19" s="30">
        <f>12.54-0.05</f>
        <v>12.489999999999998</v>
      </c>
      <c r="G19" s="30">
        <v>104.65</v>
      </c>
      <c r="H19" s="30" t="s">
        <v>70</v>
      </c>
      <c r="I19" s="30" t="s">
        <v>71</v>
      </c>
      <c r="J19" s="53"/>
      <c r="K19" s="30" t="s">
        <v>72</v>
      </c>
      <c r="L19" s="30" t="s">
        <v>73</v>
      </c>
      <c r="M19" s="30" t="s">
        <v>74</v>
      </c>
      <c r="N19" s="30">
        <v>0.99</v>
      </c>
      <c r="O19" s="2">
        <v>21</v>
      </c>
      <c r="P19" s="2">
        <f t="shared" si="2"/>
        <v>104.65799999999999</v>
      </c>
    </row>
    <row r="20" spans="1:17" x14ac:dyDescent="0.2">
      <c r="A20" s="158" t="s">
        <v>169</v>
      </c>
      <c r="B20" s="29" t="s">
        <v>137</v>
      </c>
      <c r="C20" s="16">
        <v>200</v>
      </c>
      <c r="D20" s="30">
        <v>17.73</v>
      </c>
      <c r="E20" s="30">
        <v>17.16</v>
      </c>
      <c r="F20" s="30">
        <v>42.9</v>
      </c>
      <c r="G20" s="30">
        <v>409.09</v>
      </c>
      <c r="H20" s="16">
        <v>0.05</v>
      </c>
      <c r="I20" s="16">
        <v>1.22</v>
      </c>
      <c r="J20" s="54"/>
      <c r="K20" s="16">
        <v>9.8000000000000007</v>
      </c>
      <c r="L20" s="16">
        <v>16.87</v>
      </c>
      <c r="M20" s="16">
        <v>4.54</v>
      </c>
      <c r="N20" s="16">
        <v>1.39</v>
      </c>
      <c r="O20" s="2">
        <v>25</v>
      </c>
      <c r="P20" s="2">
        <f t="shared" si="2"/>
        <v>409.08600000000001</v>
      </c>
    </row>
    <row r="21" spans="1:17" x14ac:dyDescent="0.2">
      <c r="A21" s="159" t="s">
        <v>163</v>
      </c>
      <c r="B21" s="50" t="s">
        <v>10</v>
      </c>
      <c r="C21" s="37">
        <v>200</v>
      </c>
      <c r="D21" s="57">
        <v>0</v>
      </c>
      <c r="E21" s="53">
        <v>0</v>
      </c>
      <c r="F21" s="57">
        <v>10</v>
      </c>
      <c r="G21" s="57">
        <v>42</v>
      </c>
      <c r="H21" s="34">
        <v>0.04</v>
      </c>
      <c r="I21" s="34">
        <v>1.48</v>
      </c>
      <c r="J21" s="12"/>
      <c r="K21" s="34">
        <v>59.5</v>
      </c>
      <c r="L21" s="12"/>
      <c r="M21" s="12"/>
      <c r="N21" s="34">
        <v>1.21</v>
      </c>
      <c r="O21" s="2">
        <v>13</v>
      </c>
      <c r="P21" s="2">
        <f t="shared" si="2"/>
        <v>42</v>
      </c>
    </row>
    <row r="22" spans="1:17" x14ac:dyDescent="0.2">
      <c r="A22" s="22"/>
      <c r="B22" s="50" t="s">
        <v>11</v>
      </c>
      <c r="C22" s="16">
        <v>40</v>
      </c>
      <c r="D22" s="57">
        <v>3.04</v>
      </c>
      <c r="E22" s="30">
        <v>0.32</v>
      </c>
      <c r="F22" s="57">
        <v>19.68</v>
      </c>
      <c r="G22" s="57">
        <v>98.34</v>
      </c>
      <c r="H22" s="16">
        <v>0.04</v>
      </c>
      <c r="I22" s="54"/>
      <c r="J22" s="54"/>
      <c r="K22" s="37">
        <v>8</v>
      </c>
      <c r="L22" s="54">
        <v>26</v>
      </c>
      <c r="M22" s="54">
        <v>5.6</v>
      </c>
      <c r="N22" s="16">
        <v>0.44</v>
      </c>
      <c r="O22" s="2">
        <v>2.8</v>
      </c>
      <c r="P22" s="2">
        <f t="shared" si="2"/>
        <v>98.303999999999988</v>
      </c>
    </row>
    <row r="23" spans="1:17" x14ac:dyDescent="0.2">
      <c r="A23" s="38"/>
      <c r="B23" s="39"/>
      <c r="C23" s="45">
        <f>SUM(C18:C22)</f>
        <v>700</v>
      </c>
      <c r="D23" s="149"/>
      <c r="E23" s="150"/>
      <c r="F23" s="149"/>
      <c r="G23" s="149"/>
      <c r="H23" s="16"/>
      <c r="I23" s="54"/>
      <c r="J23" s="54"/>
      <c r="K23" s="43"/>
      <c r="L23" s="44"/>
      <c r="M23" s="44"/>
      <c r="N23" s="43"/>
      <c r="P23" s="2">
        <f t="shared" si="2"/>
        <v>0</v>
      </c>
    </row>
    <row r="24" spans="1:17" x14ac:dyDescent="0.2">
      <c r="A24" s="18" t="s">
        <v>4</v>
      </c>
      <c r="B24" s="257" t="s">
        <v>13</v>
      </c>
      <c r="C24" s="258"/>
      <c r="D24" s="19">
        <f t="shared" ref="D24:O24" si="4">D25+D31</f>
        <v>40.459999999999994</v>
      </c>
      <c r="E24" s="19">
        <f t="shared" si="4"/>
        <v>43.07</v>
      </c>
      <c r="F24" s="19">
        <f t="shared" si="4"/>
        <v>196.01</v>
      </c>
      <c r="G24" s="19">
        <f>G25+G31</f>
        <v>1383.7060000000001</v>
      </c>
      <c r="H24" s="19" t="e">
        <f t="shared" si="4"/>
        <v>#REF!</v>
      </c>
      <c r="I24" s="19" t="e">
        <f t="shared" si="4"/>
        <v>#REF!</v>
      </c>
      <c r="J24" s="19" t="e">
        <f t="shared" si="4"/>
        <v>#REF!</v>
      </c>
      <c r="K24" s="19" t="e">
        <f t="shared" si="4"/>
        <v>#REF!</v>
      </c>
      <c r="L24" s="19" t="e">
        <f t="shared" si="4"/>
        <v>#REF!</v>
      </c>
      <c r="M24" s="19" t="e">
        <f t="shared" si="4"/>
        <v>#REF!</v>
      </c>
      <c r="N24" s="19" t="e">
        <f t="shared" si="4"/>
        <v>#REF!</v>
      </c>
      <c r="O24" s="20" t="e">
        <f t="shared" si="4"/>
        <v>#REF!</v>
      </c>
      <c r="P24" s="2">
        <f t="shared" si="2"/>
        <v>1380.8039999999999</v>
      </c>
    </row>
    <row r="25" spans="1:17" x14ac:dyDescent="0.2">
      <c r="A25" s="18"/>
      <c r="B25" s="257" t="s">
        <v>66</v>
      </c>
      <c r="C25" s="258"/>
      <c r="D25" s="19">
        <f>D26+D27+D28+D29</f>
        <v>15.349999999999998</v>
      </c>
      <c r="E25" s="19">
        <f>E26+E27+E28+E29</f>
        <v>11.95</v>
      </c>
      <c r="F25" s="19">
        <f>F26+F27+F28+F29</f>
        <v>108.09</v>
      </c>
      <c r="G25" s="19">
        <f>G26+G27+G28+G29</f>
        <v>627.66600000000005</v>
      </c>
      <c r="H25" s="19" t="e">
        <f>H26+H27+H28+H29+#REF!</f>
        <v>#REF!</v>
      </c>
      <c r="I25" s="19" t="e">
        <f>I26+I27+I28+I29+#REF!</f>
        <v>#REF!</v>
      </c>
      <c r="J25" s="19" t="e">
        <f>J26+J27+J28+J29+#REF!</f>
        <v>#REF!</v>
      </c>
      <c r="K25" s="19" t="e">
        <f>K26+K27+K28+K29+#REF!</f>
        <v>#REF!</v>
      </c>
      <c r="L25" s="19" t="e">
        <f>L26+L27+L28+L29+#REF!</f>
        <v>#REF!</v>
      </c>
      <c r="M25" s="19" t="e">
        <f>M26+M27+M28+M29+#REF!</f>
        <v>#REF!</v>
      </c>
      <c r="N25" s="19" t="e">
        <f>N26+N27+N28+N29+#REF!</f>
        <v>#REF!</v>
      </c>
      <c r="O25" s="20" t="e">
        <f>O26+O27+O28+O29+#REF!</f>
        <v>#REF!</v>
      </c>
      <c r="P25" s="2">
        <f t="shared" si="2"/>
        <v>625.99799999999993</v>
      </c>
      <c r="Q25" s="2">
        <v>470</v>
      </c>
    </row>
    <row r="26" spans="1:17" ht="24" x14ac:dyDescent="0.2">
      <c r="A26" s="177" t="s">
        <v>161</v>
      </c>
      <c r="B26" s="178" t="s">
        <v>184</v>
      </c>
      <c r="C26" s="37">
        <v>205</v>
      </c>
      <c r="D26" s="179">
        <f>7.81</f>
        <v>7.81</v>
      </c>
      <c r="E26" s="179">
        <f>4.55</f>
        <v>4.55</v>
      </c>
      <c r="F26" s="179">
        <f>33.47</f>
        <v>33.47</v>
      </c>
      <c r="G26" s="179">
        <v>214.32599999999999</v>
      </c>
      <c r="H26" s="34">
        <v>0.04</v>
      </c>
      <c r="I26" s="34">
        <v>15</v>
      </c>
      <c r="J26" s="34"/>
      <c r="K26" s="34">
        <v>8.4</v>
      </c>
      <c r="L26" s="34"/>
      <c r="M26" s="34"/>
      <c r="N26" s="34">
        <v>0.54</v>
      </c>
      <c r="O26" s="55">
        <v>10.9</v>
      </c>
      <c r="P26" s="2">
        <f t="shared" si="2"/>
        <v>214.32599999999999</v>
      </c>
    </row>
    <row r="27" spans="1:17" x14ac:dyDescent="0.2">
      <c r="A27" s="160"/>
      <c r="B27" s="27" t="s">
        <v>62</v>
      </c>
      <c r="C27" s="37">
        <v>60</v>
      </c>
      <c r="D27" s="57">
        <f>1.5*3</f>
        <v>4.5</v>
      </c>
      <c r="E27" s="53">
        <f>2.36*3</f>
        <v>7.08</v>
      </c>
      <c r="F27" s="57">
        <f>14.98*3</f>
        <v>44.94</v>
      </c>
      <c r="G27" s="57">
        <f>91*3</f>
        <v>273</v>
      </c>
      <c r="H27" s="34">
        <v>0.46</v>
      </c>
      <c r="I27" s="34">
        <v>1.78</v>
      </c>
      <c r="J27" s="34"/>
      <c r="K27" s="34">
        <v>10.16</v>
      </c>
      <c r="L27" s="34">
        <v>8.5399999999999991</v>
      </c>
      <c r="M27" s="34">
        <v>1.88</v>
      </c>
      <c r="N27" s="34">
        <v>1.1399999999999999</v>
      </c>
      <c r="O27" s="2">
        <v>33</v>
      </c>
      <c r="P27" s="2">
        <f t="shared" si="2"/>
        <v>271.36799999999999</v>
      </c>
    </row>
    <row r="28" spans="1:17" x14ac:dyDescent="0.2">
      <c r="A28" s="160" t="s">
        <v>163</v>
      </c>
      <c r="B28" s="50" t="s">
        <v>10</v>
      </c>
      <c r="C28" s="37">
        <v>200</v>
      </c>
      <c r="D28" s="57">
        <v>0</v>
      </c>
      <c r="E28" s="57">
        <v>0</v>
      </c>
      <c r="F28" s="57">
        <v>10</v>
      </c>
      <c r="G28" s="57">
        <v>42</v>
      </c>
      <c r="H28" s="34">
        <v>0.19</v>
      </c>
      <c r="I28" s="34">
        <v>31.07</v>
      </c>
      <c r="J28" s="34">
        <v>25.2</v>
      </c>
      <c r="K28" s="34">
        <v>49.59</v>
      </c>
      <c r="L28" s="34">
        <v>91.3</v>
      </c>
      <c r="M28" s="34">
        <v>35.39</v>
      </c>
      <c r="N28" s="34">
        <v>1.43</v>
      </c>
      <c r="O28" s="2">
        <v>23</v>
      </c>
      <c r="P28" s="2">
        <f t="shared" si="2"/>
        <v>42</v>
      </c>
    </row>
    <row r="29" spans="1:17" x14ac:dyDescent="0.2">
      <c r="A29" s="56"/>
      <c r="B29" s="50" t="s">
        <v>11</v>
      </c>
      <c r="C29" s="37">
        <v>40</v>
      </c>
      <c r="D29" s="57">
        <v>3.04</v>
      </c>
      <c r="E29" s="53">
        <v>0.32</v>
      </c>
      <c r="F29" s="57">
        <v>19.68</v>
      </c>
      <c r="G29" s="57">
        <v>98.34</v>
      </c>
      <c r="H29" s="58">
        <v>0.01</v>
      </c>
      <c r="I29" s="58">
        <v>0.57999999999999996</v>
      </c>
      <c r="J29" s="59"/>
      <c r="K29" s="58">
        <v>17.309999999999999</v>
      </c>
      <c r="L29" s="59"/>
      <c r="M29" s="59"/>
      <c r="N29" s="58">
        <v>0.65</v>
      </c>
      <c r="O29" s="2">
        <v>7</v>
      </c>
      <c r="P29" s="2">
        <f t="shared" si="2"/>
        <v>98.303999999999988</v>
      </c>
    </row>
    <row r="30" spans="1:17" x14ac:dyDescent="0.2">
      <c r="A30" s="28"/>
      <c r="B30" s="27"/>
      <c r="C30" s="60">
        <f>SUM(C26:C29)</f>
        <v>505</v>
      </c>
      <c r="D30" s="57"/>
      <c r="E30" s="30"/>
      <c r="F30" s="57"/>
      <c r="G30" s="57"/>
      <c r="H30" s="17"/>
      <c r="I30" s="12"/>
      <c r="J30" s="12"/>
      <c r="K30" s="34"/>
      <c r="L30" s="12"/>
      <c r="M30" s="12"/>
      <c r="N30" s="17"/>
      <c r="P30" s="2">
        <f t="shared" si="2"/>
        <v>0</v>
      </c>
    </row>
    <row r="31" spans="1:17" x14ac:dyDescent="0.2">
      <c r="A31" s="61"/>
      <c r="B31" s="259" t="s">
        <v>67</v>
      </c>
      <c r="C31" s="260"/>
      <c r="D31" s="63">
        <f>D32+D33+D34+D35+D36+D37</f>
        <v>25.11</v>
      </c>
      <c r="E31" s="63">
        <f>E32+E33+E34+E35+E36+E37</f>
        <v>31.12</v>
      </c>
      <c r="F31" s="63">
        <f>F32+F33+F34+F35+F36+F37</f>
        <v>87.92</v>
      </c>
      <c r="G31" s="63">
        <f>G32+G33+G34+G35+G36+G37</f>
        <v>756.04</v>
      </c>
      <c r="H31" s="63">
        <f t="shared" ref="H31:O31" si="5">H32+H33+H34+H35+H36+H37</f>
        <v>0.66900000000000004</v>
      </c>
      <c r="I31" s="63">
        <f t="shared" si="5"/>
        <v>28.21</v>
      </c>
      <c r="J31" s="63">
        <f t="shared" si="5"/>
        <v>0.9</v>
      </c>
      <c r="K31" s="63">
        <f t="shared" si="5"/>
        <v>162.12</v>
      </c>
      <c r="L31" s="63">
        <f t="shared" si="5"/>
        <v>361.56</v>
      </c>
      <c r="M31" s="63">
        <f t="shared" si="5"/>
        <v>128.26999999999998</v>
      </c>
      <c r="N31" s="63">
        <f t="shared" si="5"/>
        <v>8.6</v>
      </c>
      <c r="O31" s="64">
        <f t="shared" si="5"/>
        <v>78</v>
      </c>
      <c r="P31" s="2">
        <f>(D31+F31)*4.2+E31*9</f>
        <v>754.80600000000004</v>
      </c>
      <c r="Q31" s="2">
        <v>705</v>
      </c>
    </row>
    <row r="32" spans="1:17" x14ac:dyDescent="0.2">
      <c r="A32" s="28" t="s">
        <v>68</v>
      </c>
      <c r="B32" s="75" t="s">
        <v>69</v>
      </c>
      <c r="C32" s="54">
        <v>60</v>
      </c>
      <c r="D32" s="97">
        <v>0.84</v>
      </c>
      <c r="E32" s="30">
        <v>3.06</v>
      </c>
      <c r="F32" s="30">
        <v>6.83</v>
      </c>
      <c r="G32" s="30">
        <v>59.75</v>
      </c>
      <c r="H32" s="30">
        <v>0.02</v>
      </c>
      <c r="I32" s="30">
        <v>2.5299999999999998</v>
      </c>
      <c r="J32" s="30"/>
      <c r="K32" s="30">
        <v>27.92</v>
      </c>
      <c r="L32" s="30">
        <v>36.549999999999997</v>
      </c>
      <c r="M32" s="30">
        <v>19.350000000000001</v>
      </c>
      <c r="N32" s="30">
        <v>0.6</v>
      </c>
      <c r="O32" s="52">
        <v>10.8</v>
      </c>
      <c r="P32" s="2">
        <f t="shared" si="2"/>
        <v>59.753999999999998</v>
      </c>
    </row>
    <row r="33" spans="1:17" x14ac:dyDescent="0.2">
      <c r="A33" s="161" t="s">
        <v>166</v>
      </c>
      <c r="B33" s="50" t="s">
        <v>158</v>
      </c>
      <c r="C33" s="37">
        <v>200</v>
      </c>
      <c r="D33" s="57">
        <f>2.57-0.86</f>
        <v>1.71</v>
      </c>
      <c r="E33" s="57">
        <f>9.24-0.84</f>
        <v>8.4</v>
      </c>
      <c r="F33" s="57">
        <f>18.04-0.09</f>
        <v>17.95</v>
      </c>
      <c r="G33" s="57">
        <v>158.72</v>
      </c>
      <c r="H33" s="57" t="s">
        <v>76</v>
      </c>
      <c r="I33" s="57" t="s">
        <v>77</v>
      </c>
      <c r="J33" s="53"/>
      <c r="K33" s="57" t="s">
        <v>78</v>
      </c>
      <c r="L33" s="57" t="s">
        <v>79</v>
      </c>
      <c r="M33" s="57" t="s">
        <v>80</v>
      </c>
      <c r="N33" s="57" t="s">
        <v>81</v>
      </c>
      <c r="O33" s="2">
        <v>11.2</v>
      </c>
      <c r="P33" s="2">
        <f t="shared" si="2"/>
        <v>158.17200000000003</v>
      </c>
    </row>
    <row r="34" spans="1:17" x14ac:dyDescent="0.2">
      <c r="A34" s="162" t="s">
        <v>43</v>
      </c>
      <c r="B34" s="50" t="s">
        <v>65</v>
      </c>
      <c r="C34" s="37">
        <v>100</v>
      </c>
      <c r="D34" s="57">
        <v>14.25</v>
      </c>
      <c r="E34" s="57">
        <v>16.66</v>
      </c>
      <c r="F34" s="57">
        <v>5.27</v>
      </c>
      <c r="G34" s="57">
        <v>232</v>
      </c>
      <c r="H34" s="37">
        <v>0.06</v>
      </c>
      <c r="I34" s="37">
        <v>2.82</v>
      </c>
      <c r="J34" s="54"/>
      <c r="K34" s="37">
        <v>14.58</v>
      </c>
      <c r="L34" s="37">
        <v>25.31</v>
      </c>
      <c r="M34" s="37">
        <v>6.62</v>
      </c>
      <c r="N34" s="37">
        <v>1.51</v>
      </c>
      <c r="O34" s="2">
        <v>38</v>
      </c>
      <c r="P34" s="2">
        <f t="shared" si="2"/>
        <v>231.92399999999998</v>
      </c>
    </row>
    <row r="35" spans="1:17" x14ac:dyDescent="0.2">
      <c r="A35" s="28" t="s">
        <v>33</v>
      </c>
      <c r="B35" s="50" t="s">
        <v>12</v>
      </c>
      <c r="C35" s="67">
        <v>150</v>
      </c>
      <c r="D35" s="57">
        <v>5.64</v>
      </c>
      <c r="E35" s="30">
        <v>2.84</v>
      </c>
      <c r="F35" s="57">
        <v>36</v>
      </c>
      <c r="G35" s="57">
        <v>201</v>
      </c>
      <c r="H35" s="17">
        <v>0.44</v>
      </c>
      <c r="I35" s="12"/>
      <c r="J35" s="12">
        <v>0.9</v>
      </c>
      <c r="K35" s="34">
        <v>78</v>
      </c>
      <c r="L35" s="12">
        <v>215</v>
      </c>
      <c r="M35" s="12">
        <v>70</v>
      </c>
      <c r="N35" s="17">
        <v>4.45</v>
      </c>
      <c r="O35" s="2">
        <v>10</v>
      </c>
      <c r="P35" s="2">
        <f t="shared" si="2"/>
        <v>200.44800000000001</v>
      </c>
    </row>
    <row r="36" spans="1:17" ht="12.75" customHeight="1" x14ac:dyDescent="0.2">
      <c r="A36" s="163" t="s">
        <v>42</v>
      </c>
      <c r="B36" s="68" t="s">
        <v>201</v>
      </c>
      <c r="C36" s="37">
        <v>200</v>
      </c>
      <c r="D36" s="57">
        <v>1.1499999999999999</v>
      </c>
      <c r="E36" s="53"/>
      <c r="F36" s="57">
        <v>12.03</v>
      </c>
      <c r="G36" s="57">
        <v>55.4</v>
      </c>
      <c r="H36" s="58">
        <v>8.9999999999999993E-3</v>
      </c>
      <c r="I36" s="58">
        <v>1.52</v>
      </c>
      <c r="J36" s="59"/>
      <c r="K36" s="58">
        <v>3.57</v>
      </c>
      <c r="L36" s="58">
        <v>0.66</v>
      </c>
      <c r="M36" s="58">
        <v>0.22</v>
      </c>
      <c r="N36" s="58">
        <v>0.34</v>
      </c>
      <c r="O36" s="2">
        <v>5</v>
      </c>
      <c r="P36" s="2">
        <f t="shared" si="2"/>
        <v>55.356000000000002</v>
      </c>
    </row>
    <row r="37" spans="1:17" x14ac:dyDescent="0.2">
      <c r="A37" s="28"/>
      <c r="B37" s="50" t="s">
        <v>11</v>
      </c>
      <c r="C37" s="16">
        <v>20</v>
      </c>
      <c r="D37" s="57">
        <v>1.52</v>
      </c>
      <c r="E37" s="30">
        <v>0.16</v>
      </c>
      <c r="F37" s="57">
        <v>9.84</v>
      </c>
      <c r="G37" s="57">
        <v>49.17</v>
      </c>
      <c r="H37" s="30">
        <v>0.04</v>
      </c>
      <c r="I37" s="53"/>
      <c r="J37" s="53"/>
      <c r="K37" s="57">
        <v>7.25</v>
      </c>
      <c r="L37" s="53">
        <v>32.5</v>
      </c>
      <c r="M37" s="53">
        <v>10.5</v>
      </c>
      <c r="N37" s="30">
        <v>0.9</v>
      </c>
      <c r="O37" s="2">
        <v>3</v>
      </c>
      <c r="P37" s="2">
        <f t="shared" si="2"/>
        <v>49.151999999999994</v>
      </c>
    </row>
    <row r="38" spans="1:17" x14ac:dyDescent="0.2">
      <c r="A38" s="28"/>
      <c r="B38" s="27"/>
      <c r="C38" s="60">
        <f>SUM(C32:C37)</f>
        <v>730</v>
      </c>
      <c r="D38" s="57"/>
      <c r="E38" s="30"/>
      <c r="F38" s="57"/>
      <c r="G38" s="57"/>
      <c r="H38" s="17"/>
      <c r="I38" s="12"/>
      <c r="J38" s="12"/>
      <c r="K38" s="34"/>
      <c r="L38" s="12"/>
      <c r="M38" s="12"/>
      <c r="N38" s="17"/>
      <c r="P38" s="2">
        <f t="shared" si="2"/>
        <v>0</v>
      </c>
    </row>
    <row r="39" spans="1:17" x14ac:dyDescent="0.2">
      <c r="A39" s="18" t="s">
        <v>5</v>
      </c>
      <c r="B39" s="262" t="s">
        <v>13</v>
      </c>
      <c r="C39" s="258"/>
      <c r="D39" s="19">
        <f>D40+D46</f>
        <v>37.39</v>
      </c>
      <c r="E39" s="19">
        <f t="shared" ref="E39:O39" si="6">E40+E46</f>
        <v>31.92</v>
      </c>
      <c r="F39" s="19">
        <f t="shared" si="6"/>
        <v>194.06</v>
      </c>
      <c r="G39" s="19">
        <f>G40+G46</f>
        <v>1260.7400000000002</v>
      </c>
      <c r="H39" s="19">
        <f t="shared" si="6"/>
        <v>0.62</v>
      </c>
      <c r="I39" s="19">
        <f t="shared" si="6"/>
        <v>35.22</v>
      </c>
      <c r="J39" s="19">
        <f t="shared" si="6"/>
        <v>596.4</v>
      </c>
      <c r="K39" s="19">
        <f t="shared" si="6"/>
        <v>182.92999999999998</v>
      </c>
      <c r="L39" s="19">
        <f t="shared" si="6"/>
        <v>512.99</v>
      </c>
      <c r="M39" s="19">
        <f t="shared" si="6"/>
        <v>219.59</v>
      </c>
      <c r="N39" s="19">
        <f t="shared" si="6"/>
        <v>11.260000000000002</v>
      </c>
      <c r="O39" s="20">
        <f t="shared" si="6"/>
        <v>151.89999999999998</v>
      </c>
      <c r="P39" s="2">
        <f t="shared" si="2"/>
        <v>1259.3700000000001</v>
      </c>
    </row>
    <row r="40" spans="1:17" x14ac:dyDescent="0.2">
      <c r="A40" s="18"/>
      <c r="B40" s="257" t="s">
        <v>66</v>
      </c>
      <c r="C40" s="258"/>
      <c r="D40" s="19">
        <f>D41+D42+D43+D44</f>
        <v>12.920000000000002</v>
      </c>
      <c r="E40" s="19">
        <f>E41+E42+E43+E44</f>
        <v>8.42</v>
      </c>
      <c r="F40" s="19">
        <f>F41+F42+F43+F44</f>
        <v>96.580000000000013</v>
      </c>
      <c r="G40" s="19">
        <f>G41+G42+G43+G44</f>
        <v>535.54000000000008</v>
      </c>
      <c r="H40" s="19">
        <f t="shared" ref="H40:O40" si="7">H41+H42+H43+H44</f>
        <v>0.1</v>
      </c>
      <c r="I40" s="19">
        <f t="shared" si="7"/>
        <v>16.39</v>
      </c>
      <c r="J40" s="19">
        <f t="shared" si="7"/>
        <v>40</v>
      </c>
      <c r="K40" s="19">
        <f t="shared" si="7"/>
        <v>72.97</v>
      </c>
      <c r="L40" s="19">
        <f t="shared" si="7"/>
        <v>29.5</v>
      </c>
      <c r="M40" s="19">
        <f t="shared" si="7"/>
        <v>5.6999999999999993</v>
      </c>
      <c r="N40" s="19">
        <f t="shared" si="7"/>
        <v>4.07</v>
      </c>
      <c r="O40" s="20">
        <f t="shared" si="7"/>
        <v>79.3</v>
      </c>
      <c r="P40" s="2">
        <f t="shared" si="2"/>
        <v>535.68000000000006</v>
      </c>
      <c r="Q40" s="2">
        <v>470</v>
      </c>
    </row>
    <row r="41" spans="1:17" x14ac:dyDescent="0.2">
      <c r="A41" s="164"/>
      <c r="B41" s="91" t="s">
        <v>41</v>
      </c>
      <c r="C41" s="92">
        <v>100</v>
      </c>
      <c r="D41" s="93">
        <v>0.4</v>
      </c>
      <c r="E41" s="93">
        <v>0</v>
      </c>
      <c r="F41" s="93">
        <v>9.8000000000000007</v>
      </c>
      <c r="G41" s="93">
        <v>42.84</v>
      </c>
      <c r="H41" s="12">
        <v>0.01</v>
      </c>
      <c r="I41" s="12">
        <v>0.39</v>
      </c>
      <c r="J41" s="12">
        <v>40</v>
      </c>
      <c r="K41" s="12">
        <v>38.9</v>
      </c>
      <c r="L41" s="12">
        <v>3.5</v>
      </c>
      <c r="M41" s="12">
        <v>0.1</v>
      </c>
      <c r="N41" s="12">
        <v>7.0000000000000007E-2</v>
      </c>
      <c r="O41" s="2">
        <v>53.5</v>
      </c>
      <c r="P41" s="2">
        <f t="shared" si="2"/>
        <v>42.84</v>
      </c>
    </row>
    <row r="42" spans="1:17" ht="24" x14ac:dyDescent="0.2">
      <c r="A42" s="54" t="s">
        <v>161</v>
      </c>
      <c r="B42" s="29" t="s">
        <v>186</v>
      </c>
      <c r="C42" s="37">
        <v>203</v>
      </c>
      <c r="D42" s="57">
        <v>8.48</v>
      </c>
      <c r="E42" s="57">
        <v>8</v>
      </c>
      <c r="F42" s="57">
        <v>36.1</v>
      </c>
      <c r="G42" s="57">
        <v>259.36</v>
      </c>
      <c r="H42" s="12"/>
      <c r="I42" s="12"/>
      <c r="J42" s="12"/>
      <c r="K42" s="34">
        <v>0.47</v>
      </c>
      <c r="L42" s="12"/>
      <c r="M42" s="12"/>
      <c r="N42" s="34">
        <v>0.04</v>
      </c>
      <c r="O42" s="2">
        <v>3</v>
      </c>
      <c r="P42" s="2">
        <f t="shared" si="2"/>
        <v>259.23599999999999</v>
      </c>
    </row>
    <row r="43" spans="1:17" ht="21.75" customHeight="1" x14ac:dyDescent="0.2">
      <c r="A43" s="22" t="s">
        <v>42</v>
      </c>
      <c r="B43" s="71" t="s">
        <v>202</v>
      </c>
      <c r="C43" s="37">
        <v>200</v>
      </c>
      <c r="D43" s="57">
        <v>1</v>
      </c>
      <c r="E43" s="57">
        <v>0.1</v>
      </c>
      <c r="F43" s="57">
        <v>31</v>
      </c>
      <c r="G43" s="57">
        <v>135</v>
      </c>
      <c r="H43" s="17">
        <v>0.04</v>
      </c>
      <c r="I43" s="12"/>
      <c r="J43" s="12"/>
      <c r="K43" s="34">
        <v>8</v>
      </c>
      <c r="L43" s="12">
        <v>26</v>
      </c>
      <c r="M43" s="12">
        <v>5.6</v>
      </c>
      <c r="N43" s="17">
        <v>0.44</v>
      </c>
      <c r="O43" s="2">
        <v>2.8</v>
      </c>
      <c r="P43" s="2">
        <f t="shared" si="2"/>
        <v>135.30000000000001</v>
      </c>
    </row>
    <row r="44" spans="1:17" x14ac:dyDescent="0.2">
      <c r="A44" s="38"/>
      <c r="B44" s="50" t="s">
        <v>11</v>
      </c>
      <c r="C44" s="37">
        <v>40</v>
      </c>
      <c r="D44" s="57">
        <v>3.04</v>
      </c>
      <c r="E44" s="53">
        <v>0.32</v>
      </c>
      <c r="F44" s="57">
        <v>19.68</v>
      </c>
      <c r="G44" s="57">
        <v>98.34</v>
      </c>
      <c r="H44" s="42">
        <v>0.05</v>
      </c>
      <c r="I44" s="43">
        <v>16</v>
      </c>
      <c r="J44" s="44"/>
      <c r="K44" s="43">
        <v>25.6</v>
      </c>
      <c r="L44" s="44"/>
      <c r="M44" s="44"/>
      <c r="N44" s="43">
        <v>3.52</v>
      </c>
      <c r="O44" s="2">
        <v>20</v>
      </c>
      <c r="P44" s="2">
        <f t="shared" si="2"/>
        <v>98.303999999999988</v>
      </c>
    </row>
    <row r="45" spans="1:17" x14ac:dyDescent="0.2">
      <c r="A45" s="22"/>
      <c r="B45" s="27"/>
      <c r="C45" s="72">
        <f>SUM(C41:C44)</f>
        <v>543</v>
      </c>
      <c r="D45" s="57"/>
      <c r="E45" s="30"/>
      <c r="F45" s="57"/>
      <c r="G45" s="57"/>
      <c r="H45" s="17"/>
      <c r="I45" s="12"/>
      <c r="J45" s="12"/>
      <c r="K45" s="34"/>
      <c r="L45" s="12"/>
      <c r="M45" s="12"/>
      <c r="N45" s="17"/>
      <c r="P45" s="2">
        <f t="shared" si="2"/>
        <v>0</v>
      </c>
    </row>
    <row r="46" spans="1:17" x14ac:dyDescent="0.2">
      <c r="A46" s="22"/>
      <c r="B46" s="259" t="s">
        <v>67</v>
      </c>
      <c r="C46" s="260"/>
      <c r="D46" s="63">
        <f>D47+D48+D49+D50+D51+D52</f>
        <v>24.47</v>
      </c>
      <c r="E46" s="63">
        <f>E47+E48+E49+E50+E51+E52</f>
        <v>23.5</v>
      </c>
      <c r="F46" s="63">
        <f>F47+F48+F49+F50+F51+F52</f>
        <v>97.48</v>
      </c>
      <c r="G46" s="63">
        <f>G47+G48+G49+G50+G51+G52</f>
        <v>725.2</v>
      </c>
      <c r="H46" s="63">
        <f t="shared" ref="H46:O46" si="8">H47+H48+H49+H50+H51+H52</f>
        <v>0.52</v>
      </c>
      <c r="I46" s="63">
        <f t="shared" si="8"/>
        <v>18.829999999999998</v>
      </c>
      <c r="J46" s="63">
        <f t="shared" si="8"/>
        <v>556.4</v>
      </c>
      <c r="K46" s="63">
        <f t="shared" si="8"/>
        <v>109.95999999999998</v>
      </c>
      <c r="L46" s="63">
        <f t="shared" si="8"/>
        <v>483.49</v>
      </c>
      <c r="M46" s="63">
        <f t="shared" si="8"/>
        <v>213.89000000000001</v>
      </c>
      <c r="N46" s="63">
        <f t="shared" si="8"/>
        <v>7.19</v>
      </c>
      <c r="O46" s="64">
        <f t="shared" si="8"/>
        <v>72.599999999999994</v>
      </c>
      <c r="P46" s="2">
        <f t="shared" si="2"/>
        <v>723.69</v>
      </c>
      <c r="Q46" s="2">
        <v>705</v>
      </c>
    </row>
    <row r="47" spans="1:17" x14ac:dyDescent="0.2">
      <c r="A47" s="49" t="s">
        <v>82</v>
      </c>
      <c r="B47" s="50" t="s">
        <v>83</v>
      </c>
      <c r="C47" s="51">
        <v>60</v>
      </c>
      <c r="D47" s="57">
        <v>1.21</v>
      </c>
      <c r="E47" s="57">
        <v>6.2</v>
      </c>
      <c r="F47" s="57">
        <v>12.33</v>
      </c>
      <c r="G47" s="57">
        <v>113</v>
      </c>
      <c r="H47" s="30">
        <v>0.02</v>
      </c>
      <c r="I47" s="30">
        <v>2.2999999999999998</v>
      </c>
      <c r="J47" s="30">
        <v>443</v>
      </c>
      <c r="K47" s="30">
        <v>14</v>
      </c>
      <c r="L47" s="30">
        <v>28</v>
      </c>
      <c r="M47" s="30">
        <v>17</v>
      </c>
      <c r="N47" s="30">
        <v>0.45</v>
      </c>
      <c r="O47" s="2">
        <v>9.1999999999999993</v>
      </c>
      <c r="P47" s="2">
        <f t="shared" si="2"/>
        <v>112.66800000000001</v>
      </c>
    </row>
    <row r="48" spans="1:17" x14ac:dyDescent="0.2">
      <c r="A48" s="165" t="s">
        <v>117</v>
      </c>
      <c r="B48" s="29" t="s">
        <v>189</v>
      </c>
      <c r="C48" s="16">
        <v>200</v>
      </c>
      <c r="D48" s="30">
        <f>2.64-0.99</f>
        <v>1.6500000000000001</v>
      </c>
      <c r="E48" s="30">
        <f>3.56-1.59</f>
        <v>1.97</v>
      </c>
      <c r="F48" s="30">
        <f>11.76-0.27</f>
        <v>11.49</v>
      </c>
      <c r="G48" s="30">
        <f>93-19.32</f>
        <v>73.680000000000007</v>
      </c>
      <c r="H48" s="30" t="s">
        <v>84</v>
      </c>
      <c r="I48" s="30" t="s">
        <v>85</v>
      </c>
      <c r="J48" s="53"/>
      <c r="K48" s="30" t="s">
        <v>86</v>
      </c>
      <c r="L48" s="30" t="s">
        <v>87</v>
      </c>
      <c r="M48" s="30" t="s">
        <v>88</v>
      </c>
      <c r="N48" s="30" t="s">
        <v>89</v>
      </c>
      <c r="O48" s="2">
        <v>5.6</v>
      </c>
      <c r="P48" s="2">
        <f t="shared" si="2"/>
        <v>72.918000000000006</v>
      </c>
    </row>
    <row r="49" spans="1:16" x14ac:dyDescent="0.2">
      <c r="A49" s="70" t="s">
        <v>131</v>
      </c>
      <c r="B49" s="50" t="s">
        <v>141</v>
      </c>
      <c r="C49" s="37">
        <v>90</v>
      </c>
      <c r="D49" s="57">
        <v>11.84</v>
      </c>
      <c r="E49" s="57">
        <v>10.06</v>
      </c>
      <c r="F49" s="57">
        <v>16.03</v>
      </c>
      <c r="G49" s="57">
        <v>208</v>
      </c>
      <c r="H49" s="12">
        <v>0.1</v>
      </c>
      <c r="I49" s="12">
        <v>6.03</v>
      </c>
      <c r="J49" s="12">
        <v>92.4</v>
      </c>
      <c r="K49" s="12">
        <v>52.89</v>
      </c>
      <c r="L49" s="12">
        <v>193.68</v>
      </c>
      <c r="M49" s="12">
        <v>44.45</v>
      </c>
      <c r="N49" s="12">
        <v>1.01</v>
      </c>
      <c r="O49" s="2">
        <v>35</v>
      </c>
      <c r="P49" s="2">
        <f t="shared" si="2"/>
        <v>207.59399999999999</v>
      </c>
    </row>
    <row r="50" spans="1:16" x14ac:dyDescent="0.2">
      <c r="A50" s="159" t="s">
        <v>38</v>
      </c>
      <c r="B50" s="29" t="s">
        <v>36</v>
      </c>
      <c r="C50" s="37">
        <v>150</v>
      </c>
      <c r="D50" s="57">
        <v>8.77</v>
      </c>
      <c r="E50" s="57">
        <v>5.19</v>
      </c>
      <c r="F50" s="57">
        <v>39.630000000000003</v>
      </c>
      <c r="G50" s="57">
        <v>250</v>
      </c>
      <c r="H50" s="37">
        <v>0.3</v>
      </c>
      <c r="I50" s="54"/>
      <c r="J50" s="37">
        <v>21</v>
      </c>
      <c r="K50" s="37">
        <v>15.38</v>
      </c>
      <c r="L50" s="37">
        <v>208.35</v>
      </c>
      <c r="M50" s="37">
        <v>138.65</v>
      </c>
      <c r="N50" s="37">
        <v>4.66</v>
      </c>
      <c r="O50" s="2">
        <v>13</v>
      </c>
      <c r="P50" s="2">
        <f t="shared" si="2"/>
        <v>249.99000000000004</v>
      </c>
    </row>
    <row r="51" spans="1:16" x14ac:dyDescent="0.2">
      <c r="A51" s="166" t="s">
        <v>163</v>
      </c>
      <c r="B51" s="50" t="s">
        <v>10</v>
      </c>
      <c r="C51" s="16">
        <v>200</v>
      </c>
      <c r="D51" s="57">
        <v>0</v>
      </c>
      <c r="E51" s="53">
        <v>0</v>
      </c>
      <c r="F51" s="57">
        <v>10</v>
      </c>
      <c r="G51" s="30">
        <v>42</v>
      </c>
      <c r="H51" s="30" t="s">
        <v>91</v>
      </c>
      <c r="I51" s="57" t="s">
        <v>92</v>
      </c>
      <c r="J51" s="53"/>
      <c r="K51" s="57" t="s">
        <v>93</v>
      </c>
      <c r="L51" s="53"/>
      <c r="M51" s="53"/>
      <c r="N51" s="30" t="s">
        <v>94</v>
      </c>
      <c r="O51" s="2">
        <v>7</v>
      </c>
      <c r="P51" s="2">
        <f t="shared" si="2"/>
        <v>42</v>
      </c>
    </row>
    <row r="52" spans="1:16" x14ac:dyDescent="0.2">
      <c r="A52" s="22"/>
      <c r="B52" s="50" t="s">
        <v>37</v>
      </c>
      <c r="C52" s="16">
        <v>20</v>
      </c>
      <c r="D52" s="57">
        <v>1</v>
      </c>
      <c r="E52" s="30">
        <v>0.08</v>
      </c>
      <c r="F52" s="57">
        <v>8</v>
      </c>
      <c r="G52" s="57">
        <v>38.520000000000003</v>
      </c>
      <c r="H52" s="16">
        <v>0.04</v>
      </c>
      <c r="I52" s="54"/>
      <c r="J52" s="54"/>
      <c r="K52" s="37">
        <v>8</v>
      </c>
      <c r="L52" s="54">
        <v>26</v>
      </c>
      <c r="M52" s="54">
        <v>5.6</v>
      </c>
      <c r="N52" s="16">
        <v>0.44</v>
      </c>
      <c r="O52" s="2">
        <v>2.8</v>
      </c>
      <c r="P52" s="2">
        <f t="shared" si="2"/>
        <v>38.520000000000003</v>
      </c>
    </row>
    <row r="53" spans="1:16" x14ac:dyDescent="0.2">
      <c r="A53" s="22"/>
      <c r="B53" s="73"/>
      <c r="C53" s="74">
        <f>SUM(C47:C52)</f>
        <v>720</v>
      </c>
      <c r="D53" s="57"/>
      <c r="E53" s="30"/>
      <c r="F53" s="57"/>
      <c r="G53" s="57"/>
      <c r="H53" s="16"/>
      <c r="I53" s="54"/>
      <c r="J53" s="54"/>
      <c r="K53" s="37"/>
      <c r="L53" s="54"/>
      <c r="M53" s="54"/>
      <c r="N53" s="16"/>
      <c r="P53" s="2">
        <f t="shared" si="2"/>
        <v>0</v>
      </c>
    </row>
    <row r="54" spans="1:16" x14ac:dyDescent="0.2">
      <c r="A54" s="22"/>
      <c r="B54" s="27"/>
      <c r="C54" s="72"/>
      <c r="D54" s="57"/>
      <c r="E54" s="30"/>
      <c r="F54" s="57"/>
      <c r="G54" s="57"/>
      <c r="H54" s="17"/>
      <c r="I54" s="12"/>
      <c r="J54" s="12"/>
      <c r="K54" s="34"/>
      <c r="L54" s="12"/>
      <c r="M54" s="12"/>
      <c r="N54" s="17"/>
      <c r="P54" s="2">
        <f t="shared" si="2"/>
        <v>0</v>
      </c>
    </row>
    <row r="55" spans="1:16" x14ac:dyDescent="0.2">
      <c r="A55" s="21" t="s">
        <v>27</v>
      </c>
      <c r="B55" s="257" t="s">
        <v>13</v>
      </c>
      <c r="C55" s="258"/>
      <c r="D55" s="63">
        <f t="shared" ref="D55:O55" si="9">D56+D62</f>
        <v>42.489999999999995</v>
      </c>
      <c r="E55" s="63">
        <f t="shared" si="9"/>
        <v>37.019999999999996</v>
      </c>
      <c r="F55" s="63">
        <f t="shared" si="9"/>
        <v>181.36</v>
      </c>
      <c r="G55" s="63">
        <f t="shared" si="9"/>
        <v>1273.79</v>
      </c>
      <c r="H55" s="63" t="e">
        <f t="shared" si="9"/>
        <v>#REF!</v>
      </c>
      <c r="I55" s="63" t="e">
        <f t="shared" si="9"/>
        <v>#REF!</v>
      </c>
      <c r="J55" s="63" t="e">
        <f t="shared" si="9"/>
        <v>#REF!</v>
      </c>
      <c r="K55" s="63" t="e">
        <f t="shared" si="9"/>
        <v>#REF!</v>
      </c>
      <c r="L55" s="63" t="e">
        <f t="shared" si="9"/>
        <v>#REF!</v>
      </c>
      <c r="M55" s="63" t="e">
        <f t="shared" si="9"/>
        <v>#REF!</v>
      </c>
      <c r="N55" s="63" t="e">
        <f t="shared" si="9"/>
        <v>#REF!</v>
      </c>
      <c r="O55" s="64" t="e">
        <f t="shared" si="9"/>
        <v>#REF!</v>
      </c>
      <c r="P55" s="2">
        <f t="shared" si="2"/>
        <v>1273.3500000000001</v>
      </c>
    </row>
    <row r="56" spans="1:16" x14ac:dyDescent="0.2">
      <c r="A56" s="21"/>
      <c r="B56" s="257" t="s">
        <v>66</v>
      </c>
      <c r="C56" s="258"/>
      <c r="D56" s="63">
        <f>D57+D58+D59+D60</f>
        <v>15.21</v>
      </c>
      <c r="E56" s="63">
        <f>E57+E58+E59+E60</f>
        <v>8.36</v>
      </c>
      <c r="F56" s="63">
        <f>F57+F58+F59+F60</f>
        <v>102.05000000000001</v>
      </c>
      <c r="G56" s="63">
        <f>G57+G58+G59+G60</f>
        <v>567.83000000000004</v>
      </c>
      <c r="H56" s="63">
        <f t="shared" ref="H56:O56" si="10">H57+H58+H59+H60</f>
        <v>0.28900000000000003</v>
      </c>
      <c r="I56" s="63">
        <f t="shared" si="10"/>
        <v>2.12</v>
      </c>
      <c r="J56" s="63">
        <f t="shared" si="10"/>
        <v>25.2</v>
      </c>
      <c r="K56" s="63">
        <f t="shared" si="10"/>
        <v>52.03</v>
      </c>
      <c r="L56" s="63">
        <f t="shared" si="10"/>
        <v>146.85</v>
      </c>
      <c r="M56" s="63">
        <f t="shared" si="10"/>
        <v>38.21</v>
      </c>
      <c r="N56" s="63">
        <f t="shared" si="10"/>
        <v>4.7899999999999991</v>
      </c>
      <c r="O56" s="64">
        <f t="shared" si="10"/>
        <v>76.599999999999994</v>
      </c>
      <c r="P56" s="2">
        <f t="shared" si="2"/>
        <v>567.73200000000008</v>
      </c>
    </row>
    <row r="57" spans="1:16" x14ac:dyDescent="0.2">
      <c r="A57" s="143" t="s">
        <v>179</v>
      </c>
      <c r="B57" s="50" t="s">
        <v>177</v>
      </c>
      <c r="C57" s="37">
        <v>60</v>
      </c>
      <c r="D57" s="57">
        <v>4.91</v>
      </c>
      <c r="E57" s="57">
        <v>3.79</v>
      </c>
      <c r="F57" s="57">
        <v>36.090000000000003</v>
      </c>
      <c r="G57" s="57">
        <v>206.31</v>
      </c>
      <c r="H57" s="34">
        <v>0.08</v>
      </c>
      <c r="I57" s="34">
        <v>0.6</v>
      </c>
      <c r="J57" s="12"/>
      <c r="K57" s="34">
        <v>17.600000000000001</v>
      </c>
      <c r="L57" s="34">
        <v>13.35</v>
      </c>
      <c r="M57" s="34">
        <v>2.94</v>
      </c>
      <c r="N57" s="34">
        <v>2.2599999999999998</v>
      </c>
      <c r="O57" s="2">
        <v>59</v>
      </c>
      <c r="P57" s="2">
        <f t="shared" si="2"/>
        <v>206.31</v>
      </c>
    </row>
    <row r="58" spans="1:16" ht="24" x14ac:dyDescent="0.2">
      <c r="A58" s="54" t="s">
        <v>161</v>
      </c>
      <c r="B58" s="29" t="s">
        <v>185</v>
      </c>
      <c r="C58" s="37">
        <v>203</v>
      </c>
      <c r="D58" s="57">
        <f>7.26</f>
        <v>7.26</v>
      </c>
      <c r="E58" s="57">
        <f>4.25</f>
        <v>4.25</v>
      </c>
      <c r="F58" s="57">
        <f>36.28</f>
        <v>36.28</v>
      </c>
      <c r="G58" s="57">
        <v>221.18</v>
      </c>
      <c r="H58" s="34">
        <v>0.1</v>
      </c>
      <c r="I58" s="12"/>
      <c r="J58" s="34">
        <v>25.2</v>
      </c>
      <c r="K58" s="34">
        <v>13.46</v>
      </c>
      <c r="L58" s="34">
        <v>54.84</v>
      </c>
      <c r="M58" s="34">
        <v>9.85</v>
      </c>
      <c r="N58" s="34">
        <v>0.03</v>
      </c>
      <c r="O58" s="2">
        <v>9.6</v>
      </c>
      <c r="P58" s="2">
        <f t="shared" si="2"/>
        <v>221.11799999999999</v>
      </c>
    </row>
    <row r="59" spans="1:16" x14ac:dyDescent="0.2">
      <c r="A59" s="163" t="s">
        <v>163</v>
      </c>
      <c r="B59" s="68" t="s">
        <v>10</v>
      </c>
      <c r="C59" s="37">
        <v>200</v>
      </c>
      <c r="D59" s="57">
        <v>0</v>
      </c>
      <c r="E59" s="53">
        <v>0</v>
      </c>
      <c r="F59" s="57">
        <v>10</v>
      </c>
      <c r="G59" s="57">
        <v>42</v>
      </c>
      <c r="H59" s="58">
        <v>8.9999999999999993E-3</v>
      </c>
      <c r="I59" s="58">
        <v>1.52</v>
      </c>
      <c r="J59" s="59"/>
      <c r="K59" s="58">
        <v>3.57</v>
      </c>
      <c r="L59" s="58">
        <v>0.66</v>
      </c>
      <c r="M59" s="58">
        <v>0.22</v>
      </c>
      <c r="N59" s="58">
        <v>0.34</v>
      </c>
      <c r="O59" s="2">
        <v>5</v>
      </c>
      <c r="P59" s="2">
        <f t="shared" si="2"/>
        <v>42</v>
      </c>
    </row>
    <row r="60" spans="1:16" ht="15" customHeight="1" x14ac:dyDescent="0.2">
      <c r="A60" s="28"/>
      <c r="B60" s="50" t="s">
        <v>11</v>
      </c>
      <c r="C60" s="16">
        <v>40</v>
      </c>
      <c r="D60" s="57">
        <v>3.04</v>
      </c>
      <c r="E60" s="30">
        <v>0.32</v>
      </c>
      <c r="F60" s="57">
        <v>19.68</v>
      </c>
      <c r="G60" s="57">
        <v>98.34</v>
      </c>
      <c r="H60" s="17">
        <v>0.1</v>
      </c>
      <c r="I60" s="12"/>
      <c r="J60" s="12"/>
      <c r="K60" s="34">
        <v>17.399999999999999</v>
      </c>
      <c r="L60" s="12">
        <v>78</v>
      </c>
      <c r="M60" s="12">
        <v>25.2</v>
      </c>
      <c r="N60" s="17">
        <v>2.16</v>
      </c>
      <c r="O60" s="2">
        <v>3</v>
      </c>
      <c r="P60" s="2">
        <f t="shared" si="2"/>
        <v>98.303999999999988</v>
      </c>
    </row>
    <row r="61" spans="1:16" ht="15" customHeight="1" x14ac:dyDescent="0.2">
      <c r="A61" s="28"/>
      <c r="B61" s="27"/>
      <c r="C61" s="72">
        <f>SUM(C57:C60)</f>
        <v>503</v>
      </c>
      <c r="D61" s="57"/>
      <c r="E61" s="30"/>
      <c r="F61" s="57"/>
      <c r="G61" s="57"/>
      <c r="H61" s="17"/>
      <c r="I61" s="12"/>
      <c r="J61" s="12"/>
      <c r="K61" s="34"/>
      <c r="L61" s="12"/>
      <c r="M61" s="12"/>
      <c r="N61" s="17"/>
      <c r="P61" s="2">
        <f t="shared" si="2"/>
        <v>0</v>
      </c>
    </row>
    <row r="62" spans="1:16" ht="15" customHeight="1" x14ac:dyDescent="0.2">
      <c r="A62" s="28"/>
      <c r="B62" s="259" t="s">
        <v>67</v>
      </c>
      <c r="C62" s="260"/>
      <c r="D62" s="63">
        <f>D63+D64+D65+D66+D67</f>
        <v>27.279999999999998</v>
      </c>
      <c r="E62" s="63">
        <f>E63+E64+E65+E66+E67</f>
        <v>28.66</v>
      </c>
      <c r="F62" s="63">
        <f>F63+F64+F65+F66+F67</f>
        <v>79.31</v>
      </c>
      <c r="G62" s="63">
        <f>G63+G64+G65+G66+G67</f>
        <v>705.95999999999992</v>
      </c>
      <c r="H62" s="63" t="e">
        <f>H63+H64+H65+#REF!+H66+H67</f>
        <v>#REF!</v>
      </c>
      <c r="I62" s="63" t="e">
        <f>I63+I64+I65+#REF!+I66+I67</f>
        <v>#REF!</v>
      </c>
      <c r="J62" s="63" t="e">
        <f>J63+J64+J65+#REF!+J66+J67</f>
        <v>#REF!</v>
      </c>
      <c r="K62" s="63" t="e">
        <f>K63+K64+K65+#REF!+K66+K67</f>
        <v>#REF!</v>
      </c>
      <c r="L62" s="63" t="e">
        <f>L63+L64+L65+#REF!+L66+L67</f>
        <v>#REF!</v>
      </c>
      <c r="M62" s="63" t="e">
        <f>M63+M64+M65+#REF!+M66+M67</f>
        <v>#REF!</v>
      </c>
      <c r="N62" s="63" t="e">
        <f>N63+N64+N65+#REF!+N66+N67</f>
        <v>#REF!</v>
      </c>
      <c r="O62" s="64" t="e">
        <f>O63+O64+O65+#REF!+O66+O67</f>
        <v>#REF!</v>
      </c>
      <c r="P62" s="2">
        <f t="shared" si="2"/>
        <v>705.61800000000005</v>
      </c>
    </row>
    <row r="63" spans="1:16" ht="15" customHeight="1" x14ac:dyDescent="0.2">
      <c r="A63" s="167" t="s">
        <v>174</v>
      </c>
      <c r="B63" s="75" t="s">
        <v>142</v>
      </c>
      <c r="C63" s="54">
        <v>60</v>
      </c>
      <c r="D63" s="76">
        <v>0.74</v>
      </c>
      <c r="E63" s="76">
        <v>0.06</v>
      </c>
      <c r="F63" s="76">
        <v>6.92</v>
      </c>
      <c r="G63" s="76">
        <v>33</v>
      </c>
      <c r="H63" s="30">
        <v>0.03</v>
      </c>
      <c r="I63" s="30">
        <v>5.8</v>
      </c>
      <c r="J63" s="30"/>
      <c r="K63" s="30">
        <v>18.739999999999998</v>
      </c>
      <c r="L63" s="30">
        <v>25.96</v>
      </c>
      <c r="M63" s="30">
        <v>11.72</v>
      </c>
      <c r="N63" s="30">
        <v>0.5</v>
      </c>
      <c r="O63" s="52">
        <v>11.4</v>
      </c>
      <c r="P63" s="2">
        <f t="shared" si="2"/>
        <v>32.712000000000003</v>
      </c>
    </row>
    <row r="64" spans="1:16" ht="16.5" customHeight="1" x14ac:dyDescent="0.2">
      <c r="A64" s="165" t="s">
        <v>167</v>
      </c>
      <c r="B64" s="29" t="s">
        <v>190</v>
      </c>
      <c r="C64" s="16">
        <v>200</v>
      </c>
      <c r="D64" s="30">
        <f>6.51-0.99</f>
        <v>5.52</v>
      </c>
      <c r="E64" s="30">
        <f>12.28-0.1</f>
        <v>12.18</v>
      </c>
      <c r="F64" s="30">
        <f>11.17-0.27</f>
        <v>10.9</v>
      </c>
      <c r="G64" s="30">
        <v>178.58</v>
      </c>
      <c r="H64" s="30" t="s">
        <v>95</v>
      </c>
      <c r="I64" s="30" t="s">
        <v>96</v>
      </c>
      <c r="J64" s="53"/>
      <c r="K64" s="30" t="s">
        <v>97</v>
      </c>
      <c r="L64" s="30" t="s">
        <v>98</v>
      </c>
      <c r="M64" s="30" t="s">
        <v>99</v>
      </c>
      <c r="N64" s="30" t="s">
        <v>100</v>
      </c>
      <c r="O64" s="2">
        <v>9.6</v>
      </c>
      <c r="P64" s="2">
        <f t="shared" si="2"/>
        <v>178.584</v>
      </c>
    </row>
    <row r="65" spans="1:16" ht="15" customHeight="1" x14ac:dyDescent="0.2">
      <c r="A65" s="28">
        <v>209</v>
      </c>
      <c r="B65" s="29" t="s">
        <v>143</v>
      </c>
      <c r="C65" s="16">
        <v>260</v>
      </c>
      <c r="D65" s="30">
        <v>18.350000000000001</v>
      </c>
      <c r="E65" s="30">
        <v>16.260000000000002</v>
      </c>
      <c r="F65" s="30">
        <v>39.619999999999997</v>
      </c>
      <c r="G65" s="30">
        <v>389.81</v>
      </c>
      <c r="H65" s="30" t="s">
        <v>84</v>
      </c>
      <c r="I65" s="30" t="s">
        <v>112</v>
      </c>
      <c r="J65" s="53"/>
      <c r="K65" s="30" t="s">
        <v>113</v>
      </c>
      <c r="L65" s="30" t="s">
        <v>114</v>
      </c>
      <c r="M65" s="30" t="s">
        <v>115</v>
      </c>
      <c r="N65" s="30" t="s">
        <v>116</v>
      </c>
      <c r="O65" s="2">
        <v>35.700000000000003</v>
      </c>
      <c r="P65" s="2">
        <f t="shared" si="2"/>
        <v>389.81400000000002</v>
      </c>
    </row>
    <row r="66" spans="1:16" ht="16.5" customHeight="1" x14ac:dyDescent="0.2">
      <c r="A66" s="168" t="s">
        <v>42</v>
      </c>
      <c r="B66" s="50" t="s">
        <v>201</v>
      </c>
      <c r="C66" s="37">
        <v>200</v>
      </c>
      <c r="D66" s="57">
        <v>1.1499999999999999</v>
      </c>
      <c r="E66" s="53"/>
      <c r="F66" s="57">
        <v>12.03</v>
      </c>
      <c r="G66" s="57">
        <v>55.4</v>
      </c>
      <c r="H66" s="77">
        <v>0.01</v>
      </c>
      <c r="I66" s="77">
        <v>0.65</v>
      </c>
      <c r="J66" s="78"/>
      <c r="K66" s="77">
        <v>19.23</v>
      </c>
      <c r="L66" s="78"/>
      <c r="M66" s="78"/>
      <c r="N66" s="77">
        <v>0.72</v>
      </c>
      <c r="O66" s="2">
        <v>7</v>
      </c>
      <c r="P66" s="2">
        <f t="shared" si="2"/>
        <v>55.356000000000002</v>
      </c>
    </row>
    <row r="67" spans="1:16" ht="15" customHeight="1" x14ac:dyDescent="0.2">
      <c r="A67" s="28"/>
      <c r="B67" s="50" t="s">
        <v>11</v>
      </c>
      <c r="C67" s="16">
        <v>20</v>
      </c>
      <c r="D67" s="57">
        <v>1.52</v>
      </c>
      <c r="E67" s="30">
        <v>0.16</v>
      </c>
      <c r="F67" s="57">
        <v>9.84</v>
      </c>
      <c r="G67" s="57">
        <v>49.17</v>
      </c>
      <c r="H67" s="30">
        <v>0.04</v>
      </c>
      <c r="I67" s="53"/>
      <c r="J67" s="53"/>
      <c r="K67" s="57">
        <v>7.25</v>
      </c>
      <c r="L67" s="53">
        <v>32.5</v>
      </c>
      <c r="M67" s="53">
        <v>10.5</v>
      </c>
      <c r="N67" s="30">
        <v>0.9</v>
      </c>
      <c r="O67" s="2">
        <v>3</v>
      </c>
      <c r="P67" s="2">
        <f t="shared" si="2"/>
        <v>49.151999999999994</v>
      </c>
    </row>
    <row r="68" spans="1:16" ht="15" customHeight="1" x14ac:dyDescent="0.2">
      <c r="A68" s="28"/>
      <c r="B68" s="73"/>
      <c r="C68" s="72">
        <f>SUM(C63:C67)</f>
        <v>740</v>
      </c>
      <c r="D68" s="57"/>
      <c r="E68" s="30"/>
      <c r="F68" s="57"/>
      <c r="G68" s="57"/>
      <c r="H68" s="30"/>
      <c r="I68" s="53"/>
      <c r="J68" s="53"/>
      <c r="K68" s="57"/>
      <c r="L68" s="53"/>
      <c r="M68" s="53"/>
      <c r="N68" s="30"/>
      <c r="P68" s="2">
        <f t="shared" si="2"/>
        <v>0</v>
      </c>
    </row>
    <row r="69" spans="1:16" x14ac:dyDescent="0.2">
      <c r="A69" s="21" t="s">
        <v>28</v>
      </c>
      <c r="B69" s="257" t="s">
        <v>13</v>
      </c>
      <c r="C69" s="258"/>
      <c r="D69" s="63">
        <f>D70+D76</f>
        <v>42.75</v>
      </c>
      <c r="E69" s="63">
        <f t="shared" ref="E69:O69" si="11">E70+E76</f>
        <v>37.6</v>
      </c>
      <c r="F69" s="63">
        <f t="shared" si="11"/>
        <v>190.60999999999999</v>
      </c>
      <c r="G69" s="63">
        <f t="shared" si="11"/>
        <v>1319.01</v>
      </c>
      <c r="H69" s="63">
        <f t="shared" si="11"/>
        <v>0.66</v>
      </c>
      <c r="I69" s="63">
        <f t="shared" si="11"/>
        <v>70.66</v>
      </c>
      <c r="J69" s="63">
        <f t="shared" si="11"/>
        <v>16</v>
      </c>
      <c r="K69" s="63">
        <f t="shared" si="11"/>
        <v>423.5100000000001</v>
      </c>
      <c r="L69" s="63">
        <f t="shared" si="11"/>
        <v>173.92000000000002</v>
      </c>
      <c r="M69" s="63">
        <f t="shared" si="11"/>
        <v>63.459999999999994</v>
      </c>
      <c r="N69" s="63">
        <f t="shared" si="11"/>
        <v>10.280000000000001</v>
      </c>
      <c r="O69" s="64">
        <f t="shared" si="11"/>
        <v>184.39999999999998</v>
      </c>
      <c r="P69" s="2">
        <f t="shared" si="2"/>
        <v>1318.5119999999999</v>
      </c>
    </row>
    <row r="70" spans="1:16" x14ac:dyDescent="0.2">
      <c r="A70" s="21"/>
      <c r="B70" s="257" t="s">
        <v>66</v>
      </c>
      <c r="C70" s="258"/>
      <c r="D70" s="63">
        <f>D71+D72+D73+D74</f>
        <v>14.879999999999999</v>
      </c>
      <c r="E70" s="63">
        <f>E71+E72+E73+E74</f>
        <v>9.5400000000000009</v>
      </c>
      <c r="F70" s="63">
        <f>F71+F72+F73+F74</f>
        <v>89.13</v>
      </c>
      <c r="G70" s="63">
        <f>G71+G72+G73+G74</f>
        <v>522.74</v>
      </c>
      <c r="H70" s="63">
        <f t="shared" ref="H70:O70" si="12">H71+H72+H73+H74</f>
        <v>0.16000000000000003</v>
      </c>
      <c r="I70" s="63">
        <f t="shared" si="12"/>
        <v>16.88</v>
      </c>
      <c r="J70" s="63">
        <f t="shared" si="12"/>
        <v>16</v>
      </c>
      <c r="K70" s="63">
        <f t="shared" si="12"/>
        <v>316.85000000000008</v>
      </c>
      <c r="L70" s="63">
        <f t="shared" si="12"/>
        <v>8.1999999999999993</v>
      </c>
      <c r="M70" s="63">
        <f t="shared" si="12"/>
        <v>1.48</v>
      </c>
      <c r="N70" s="63">
        <f t="shared" si="12"/>
        <v>4.75</v>
      </c>
      <c r="O70" s="64">
        <f t="shared" si="12"/>
        <v>95</v>
      </c>
      <c r="P70" s="2">
        <f t="shared" si="2"/>
        <v>522.702</v>
      </c>
    </row>
    <row r="71" spans="1:16" x14ac:dyDescent="0.2">
      <c r="A71" s="164"/>
      <c r="B71" s="91" t="s">
        <v>41</v>
      </c>
      <c r="C71" s="92">
        <v>100</v>
      </c>
      <c r="D71" s="93">
        <v>0.4</v>
      </c>
      <c r="E71" s="93">
        <v>0</v>
      </c>
      <c r="F71" s="93">
        <v>9.8000000000000007</v>
      </c>
      <c r="G71" s="93">
        <v>42.84</v>
      </c>
      <c r="H71" s="34">
        <v>7.0000000000000007E-2</v>
      </c>
      <c r="I71" s="34">
        <v>0.88</v>
      </c>
      <c r="J71" s="34">
        <v>16</v>
      </c>
      <c r="K71" s="34">
        <v>283.18</v>
      </c>
      <c r="L71" s="34">
        <v>8.1999999999999993</v>
      </c>
      <c r="M71" s="34">
        <v>1.48</v>
      </c>
      <c r="N71" s="34">
        <v>0.71</v>
      </c>
      <c r="O71" s="2">
        <v>66</v>
      </c>
      <c r="P71" s="2">
        <f t="shared" si="2"/>
        <v>42.84</v>
      </c>
    </row>
    <row r="72" spans="1:16" x14ac:dyDescent="0.2">
      <c r="A72" s="54" t="s">
        <v>180</v>
      </c>
      <c r="B72" s="79" t="s">
        <v>178</v>
      </c>
      <c r="C72" s="37">
        <v>203</v>
      </c>
      <c r="D72" s="57">
        <v>11.44</v>
      </c>
      <c r="E72" s="57">
        <v>9.2200000000000006</v>
      </c>
      <c r="F72" s="57">
        <v>49.65</v>
      </c>
      <c r="G72" s="57">
        <v>339.56</v>
      </c>
      <c r="H72" s="12"/>
      <c r="I72" s="12"/>
      <c r="J72" s="12"/>
      <c r="K72" s="34">
        <v>0.47</v>
      </c>
      <c r="L72" s="12"/>
      <c r="M72" s="12"/>
      <c r="N72" s="34">
        <v>0.04</v>
      </c>
      <c r="O72" s="2">
        <v>3</v>
      </c>
      <c r="P72" s="2">
        <f t="shared" si="2"/>
        <v>339.55799999999999</v>
      </c>
    </row>
    <row r="73" spans="1:16" x14ac:dyDescent="0.2">
      <c r="A73" s="169" t="s">
        <v>163</v>
      </c>
      <c r="B73" s="50" t="s">
        <v>10</v>
      </c>
      <c r="C73" s="36">
        <v>200</v>
      </c>
      <c r="D73" s="57">
        <v>0</v>
      </c>
      <c r="E73" s="30">
        <v>0</v>
      </c>
      <c r="F73" s="57">
        <v>10</v>
      </c>
      <c r="G73" s="57">
        <v>42</v>
      </c>
      <c r="H73" s="17">
        <v>0.04</v>
      </c>
      <c r="I73" s="12"/>
      <c r="J73" s="12"/>
      <c r="K73" s="34">
        <v>7.6</v>
      </c>
      <c r="L73" s="12"/>
      <c r="M73" s="12"/>
      <c r="N73" s="17">
        <v>0.48</v>
      </c>
      <c r="O73" s="2">
        <v>4</v>
      </c>
      <c r="P73" s="2">
        <f t="shared" ref="P73:P135" si="13">(D73+F73)*4.2+E73*9</f>
        <v>42</v>
      </c>
    </row>
    <row r="74" spans="1:16" ht="13.5" customHeight="1" x14ac:dyDescent="0.2">
      <c r="A74" s="38"/>
      <c r="B74" s="155" t="s">
        <v>11</v>
      </c>
      <c r="C74" s="16">
        <v>40</v>
      </c>
      <c r="D74" s="57">
        <v>3.04</v>
      </c>
      <c r="E74" s="30">
        <v>0.32</v>
      </c>
      <c r="F74" s="57">
        <v>19.68</v>
      </c>
      <c r="G74" s="57">
        <v>98.34</v>
      </c>
      <c r="H74" s="42">
        <v>0.05</v>
      </c>
      <c r="I74" s="43">
        <v>16</v>
      </c>
      <c r="J74" s="44"/>
      <c r="K74" s="43">
        <v>25.6</v>
      </c>
      <c r="L74" s="44"/>
      <c r="M74" s="44"/>
      <c r="N74" s="43">
        <v>3.52</v>
      </c>
      <c r="O74" s="2">
        <v>22</v>
      </c>
      <c r="P74" s="2">
        <f t="shared" si="13"/>
        <v>98.303999999999988</v>
      </c>
    </row>
    <row r="75" spans="1:16" x14ac:dyDescent="0.2">
      <c r="A75" s="70"/>
      <c r="B75" s="27"/>
      <c r="C75" s="80">
        <f>SUM(C71:C74)</f>
        <v>543</v>
      </c>
      <c r="D75" s="57"/>
      <c r="E75" s="53"/>
      <c r="F75" s="57"/>
      <c r="G75" s="57"/>
      <c r="H75" s="12"/>
      <c r="I75" s="34"/>
      <c r="J75" s="12"/>
      <c r="K75" s="34"/>
      <c r="L75" s="34"/>
      <c r="M75" s="34"/>
      <c r="N75" s="34"/>
      <c r="P75" s="2">
        <f t="shared" si="13"/>
        <v>0</v>
      </c>
    </row>
    <row r="76" spans="1:16" x14ac:dyDescent="0.2">
      <c r="A76" s="70"/>
      <c r="B76" s="259" t="s">
        <v>67</v>
      </c>
      <c r="C76" s="260"/>
      <c r="D76" s="63">
        <f>D77+D78+D79+D80+D81+D82</f>
        <v>27.87</v>
      </c>
      <c r="E76" s="63">
        <f>E77+E78+E79+E80+E81+E82</f>
        <v>28.060000000000002</v>
      </c>
      <c r="F76" s="63">
        <f>F77+F78+F79+F80+F81+F82</f>
        <v>101.47999999999999</v>
      </c>
      <c r="G76" s="63">
        <f>G77+G78+G79+G80+G81+G82</f>
        <v>796.27</v>
      </c>
      <c r="H76" s="63">
        <f t="shared" ref="H76:O76" si="14">H77+H78+H79+H80+H81</f>
        <v>0.5</v>
      </c>
      <c r="I76" s="63">
        <f t="shared" si="14"/>
        <v>53.78</v>
      </c>
      <c r="J76" s="63">
        <f t="shared" si="14"/>
        <v>0</v>
      </c>
      <c r="K76" s="63">
        <f t="shared" si="14"/>
        <v>106.66</v>
      </c>
      <c r="L76" s="63">
        <f t="shared" si="14"/>
        <v>165.72000000000003</v>
      </c>
      <c r="M76" s="63">
        <f t="shared" si="14"/>
        <v>61.98</v>
      </c>
      <c r="N76" s="63">
        <f t="shared" si="14"/>
        <v>5.5300000000000011</v>
      </c>
      <c r="O76" s="64">
        <f t="shared" si="14"/>
        <v>89.399999999999991</v>
      </c>
      <c r="P76" s="2">
        <f t="shared" si="13"/>
        <v>795.81</v>
      </c>
    </row>
    <row r="77" spans="1:16" ht="14.25" customHeight="1" x14ac:dyDescent="0.2">
      <c r="A77" s="49" t="s">
        <v>171</v>
      </c>
      <c r="B77" s="50" t="s">
        <v>145</v>
      </c>
      <c r="C77" s="51">
        <v>60</v>
      </c>
      <c r="D77" s="57">
        <v>0.88</v>
      </c>
      <c r="E77" s="57">
        <v>3.11</v>
      </c>
      <c r="F77" s="57">
        <v>5.64</v>
      </c>
      <c r="G77" s="57">
        <v>55.8</v>
      </c>
      <c r="H77" s="34">
        <v>0.04</v>
      </c>
      <c r="I77" s="34">
        <v>15</v>
      </c>
      <c r="J77" s="53"/>
      <c r="K77" s="34">
        <v>8.4</v>
      </c>
      <c r="L77" s="34"/>
      <c r="M77" s="34"/>
      <c r="N77" s="34">
        <v>0.54</v>
      </c>
      <c r="O77" s="2">
        <v>10.9</v>
      </c>
      <c r="P77" s="2">
        <f t="shared" si="13"/>
        <v>55.373999999999995</v>
      </c>
    </row>
    <row r="78" spans="1:16" ht="14.25" customHeight="1" x14ac:dyDescent="0.2">
      <c r="A78" s="28" t="s">
        <v>165</v>
      </c>
      <c r="B78" s="29" t="s">
        <v>188</v>
      </c>
      <c r="C78" s="16">
        <v>200</v>
      </c>
      <c r="D78" s="30">
        <v>3</v>
      </c>
      <c r="E78" s="30">
        <f>4.61-0.21</f>
        <v>4.4000000000000004</v>
      </c>
      <c r="F78" s="30">
        <f>12.54-0.05</f>
        <v>12.489999999999998</v>
      </c>
      <c r="G78" s="30">
        <v>104.65</v>
      </c>
      <c r="H78" s="30" t="s">
        <v>45</v>
      </c>
      <c r="I78" s="30" t="s">
        <v>102</v>
      </c>
      <c r="J78" s="53"/>
      <c r="K78" s="30" t="s">
        <v>103</v>
      </c>
      <c r="L78" s="30" t="s">
        <v>104</v>
      </c>
      <c r="M78" s="30" t="s">
        <v>105</v>
      </c>
      <c r="N78" s="30" t="s">
        <v>106</v>
      </c>
      <c r="O78" s="2">
        <v>9.6</v>
      </c>
      <c r="P78" s="2">
        <f t="shared" si="13"/>
        <v>104.65799999999999</v>
      </c>
    </row>
    <row r="79" spans="1:16" x14ac:dyDescent="0.2">
      <c r="A79" s="28" t="s">
        <v>146</v>
      </c>
      <c r="B79" s="79" t="s">
        <v>147</v>
      </c>
      <c r="C79" s="10">
        <v>110</v>
      </c>
      <c r="D79" s="57">
        <v>5.73</v>
      </c>
      <c r="E79" s="57">
        <v>16.34</v>
      </c>
      <c r="F79" s="57">
        <v>10.38</v>
      </c>
      <c r="G79" s="57">
        <v>215</v>
      </c>
      <c r="H79" s="37">
        <v>0.22</v>
      </c>
      <c r="I79" s="37">
        <v>27.28</v>
      </c>
      <c r="J79" s="37"/>
      <c r="K79" s="37">
        <v>29.14</v>
      </c>
      <c r="L79" s="37">
        <v>79.98</v>
      </c>
      <c r="M79" s="37">
        <v>31.56</v>
      </c>
      <c r="N79" s="37">
        <v>2.3199999999999998</v>
      </c>
      <c r="O79" s="2">
        <v>59.1</v>
      </c>
      <c r="P79" s="2">
        <f t="shared" si="13"/>
        <v>214.72200000000001</v>
      </c>
    </row>
    <row r="80" spans="1:16" x14ac:dyDescent="0.2">
      <c r="A80" s="81" t="s">
        <v>134</v>
      </c>
      <c r="B80" s="50" t="s">
        <v>148</v>
      </c>
      <c r="C80" s="37">
        <v>150</v>
      </c>
      <c r="D80" s="57">
        <v>16.260000000000002</v>
      </c>
      <c r="E80" s="82">
        <v>4.03</v>
      </c>
      <c r="F80" s="57">
        <v>33.97</v>
      </c>
      <c r="G80" s="57">
        <v>247.3</v>
      </c>
      <c r="H80" s="57">
        <v>0.02</v>
      </c>
      <c r="I80" s="57"/>
      <c r="J80" s="53"/>
      <c r="K80" s="57">
        <v>20.32</v>
      </c>
      <c r="L80" s="57">
        <v>19.36</v>
      </c>
      <c r="M80" s="57">
        <v>8.1199999999999992</v>
      </c>
      <c r="N80" s="57">
        <v>0.45</v>
      </c>
      <c r="O80" s="2">
        <v>7</v>
      </c>
      <c r="P80" s="2">
        <f t="shared" si="13"/>
        <v>247.23600000000005</v>
      </c>
    </row>
    <row r="81" spans="1:32" ht="29.25" customHeight="1" x14ac:dyDescent="0.2">
      <c r="A81" s="28" t="s">
        <v>42</v>
      </c>
      <c r="B81" s="50" t="s">
        <v>202</v>
      </c>
      <c r="C81" s="37">
        <v>200</v>
      </c>
      <c r="D81" s="57">
        <v>1</v>
      </c>
      <c r="E81" s="57">
        <v>0.1</v>
      </c>
      <c r="F81" s="57">
        <v>31</v>
      </c>
      <c r="G81" s="57">
        <v>135</v>
      </c>
      <c r="H81" s="16">
        <v>0.04</v>
      </c>
      <c r="I81" s="54"/>
      <c r="J81" s="54"/>
      <c r="K81" s="37">
        <v>8</v>
      </c>
      <c r="L81" s="54">
        <v>26</v>
      </c>
      <c r="M81" s="54">
        <v>5.6</v>
      </c>
      <c r="N81" s="16">
        <v>0.44</v>
      </c>
      <c r="O81" s="2">
        <v>2.8</v>
      </c>
      <c r="P81" s="2">
        <f t="shared" si="13"/>
        <v>135.30000000000001</v>
      </c>
    </row>
    <row r="82" spans="1:32" x14ac:dyDescent="0.2">
      <c r="A82" s="22"/>
      <c r="B82" s="122" t="s">
        <v>37</v>
      </c>
      <c r="C82" s="16">
        <v>20</v>
      </c>
      <c r="D82" s="57">
        <v>1</v>
      </c>
      <c r="E82" s="30">
        <v>0.08</v>
      </c>
      <c r="F82" s="57">
        <v>8</v>
      </c>
      <c r="G82" s="57">
        <v>38.520000000000003</v>
      </c>
      <c r="H82" s="16"/>
      <c r="I82" s="54"/>
      <c r="J82" s="54"/>
      <c r="K82" s="37"/>
      <c r="L82" s="54"/>
      <c r="M82" s="54"/>
      <c r="N82" s="16"/>
      <c r="P82" s="2">
        <f t="shared" si="13"/>
        <v>38.520000000000003</v>
      </c>
    </row>
    <row r="83" spans="1:32" x14ac:dyDescent="0.2">
      <c r="A83" s="22"/>
      <c r="B83" s="83"/>
      <c r="C83" s="72">
        <f>SUM(C77:C82)</f>
        <v>740</v>
      </c>
      <c r="D83" s="57"/>
      <c r="E83" s="30"/>
      <c r="F83" s="57"/>
      <c r="G83" s="57"/>
      <c r="H83" s="17"/>
      <c r="I83" s="12"/>
      <c r="J83" s="12"/>
      <c r="K83" s="34"/>
      <c r="L83" s="12"/>
      <c r="M83" s="12"/>
      <c r="N83" s="17"/>
      <c r="P83" s="2">
        <f t="shared" si="13"/>
        <v>0</v>
      </c>
    </row>
    <row r="84" spans="1:32" x14ac:dyDescent="0.2">
      <c r="A84" s="84" t="s">
        <v>29</v>
      </c>
      <c r="B84" s="257" t="s">
        <v>13</v>
      </c>
      <c r="C84" s="258"/>
      <c r="D84" s="63">
        <f t="shared" ref="D84:O84" si="15">D85+D91</f>
        <v>35.18</v>
      </c>
      <c r="E84" s="63">
        <f t="shared" si="15"/>
        <v>40.680000000000007</v>
      </c>
      <c r="F84" s="63">
        <f t="shared" si="15"/>
        <v>171.08</v>
      </c>
      <c r="G84" s="63">
        <f>G85+G91</f>
        <v>1233.26</v>
      </c>
      <c r="H84" s="63" t="e">
        <f t="shared" si="15"/>
        <v>#REF!</v>
      </c>
      <c r="I84" s="63" t="e">
        <f t="shared" si="15"/>
        <v>#REF!</v>
      </c>
      <c r="J84" s="63" t="e">
        <f t="shared" si="15"/>
        <v>#REF!</v>
      </c>
      <c r="K84" s="63" t="e">
        <f t="shared" si="15"/>
        <v>#REF!</v>
      </c>
      <c r="L84" s="63" t="e">
        <f t="shared" si="15"/>
        <v>#REF!</v>
      </c>
      <c r="M84" s="63" t="e">
        <f t="shared" si="15"/>
        <v>#REF!</v>
      </c>
      <c r="N84" s="63" t="e">
        <f t="shared" si="15"/>
        <v>#REF!</v>
      </c>
      <c r="O84" s="64" t="e">
        <f t="shared" si="15"/>
        <v>#REF!</v>
      </c>
      <c r="P84" s="2">
        <f t="shared" si="13"/>
        <v>1232.4120000000003</v>
      </c>
    </row>
    <row r="85" spans="1:32" x14ac:dyDescent="0.2">
      <c r="A85" s="85"/>
      <c r="B85" s="257" t="s">
        <v>66</v>
      </c>
      <c r="C85" s="258"/>
      <c r="D85" s="87">
        <f>D86+D87+D88+D89</f>
        <v>11.64</v>
      </c>
      <c r="E85" s="87">
        <f>E86+E87+E88+E89</f>
        <v>10.52</v>
      </c>
      <c r="F85" s="87">
        <f>F86+F87+F88+F89</f>
        <v>89.5</v>
      </c>
      <c r="G85" s="87">
        <f>G86+G87+G88+G89</f>
        <v>519.5</v>
      </c>
      <c r="H85" s="87" t="e">
        <f>H86+H87+H88+H89+#REF!</f>
        <v>#REF!</v>
      </c>
      <c r="I85" s="87" t="e">
        <f>I86+I87+I88+I89+#REF!</f>
        <v>#REF!</v>
      </c>
      <c r="J85" s="87" t="e">
        <f>J86+J87+J88+J89+#REF!</f>
        <v>#REF!</v>
      </c>
      <c r="K85" s="87" t="e">
        <f>K86+K87+K88+K89+#REF!</f>
        <v>#REF!</v>
      </c>
      <c r="L85" s="87" t="e">
        <f>L86+L87+L88+L89+#REF!</f>
        <v>#REF!</v>
      </c>
      <c r="M85" s="87" t="e">
        <f>M86+M87+M88+M89+#REF!</f>
        <v>#REF!</v>
      </c>
      <c r="N85" s="87" t="e">
        <f>N86+N87+N88+N89+#REF!</f>
        <v>#REF!</v>
      </c>
      <c r="O85" s="88" t="e">
        <f>O86+O87+O88+O89+#REF!</f>
        <v>#REF!</v>
      </c>
      <c r="P85" s="2">
        <f>(D85+F85)*4.2+E85*9</f>
        <v>519.46799999999996</v>
      </c>
      <c r="Q85" s="89">
        <f>G85-470</f>
        <v>49.5</v>
      </c>
      <c r="R85" s="2">
        <f>Q85/9</f>
        <v>5.5</v>
      </c>
    </row>
    <row r="86" spans="1:32" x14ac:dyDescent="0.2">
      <c r="A86" s="90"/>
      <c r="B86" s="156" t="s">
        <v>41</v>
      </c>
      <c r="C86" s="92">
        <v>100</v>
      </c>
      <c r="D86" s="93">
        <v>0.4</v>
      </c>
      <c r="E86" s="93">
        <v>0</v>
      </c>
      <c r="F86" s="93">
        <v>9.8000000000000007</v>
      </c>
      <c r="G86" s="93">
        <v>42.84</v>
      </c>
      <c r="H86" s="94">
        <v>0.11</v>
      </c>
      <c r="I86" s="94">
        <v>0.95</v>
      </c>
      <c r="J86" s="94">
        <v>40</v>
      </c>
      <c r="K86" s="94">
        <v>99.66</v>
      </c>
      <c r="L86" s="94">
        <v>71.290000000000006</v>
      </c>
      <c r="M86" s="94">
        <v>23.64</v>
      </c>
      <c r="N86" s="94">
        <v>0.79</v>
      </c>
      <c r="O86" s="2">
        <v>15</v>
      </c>
      <c r="P86" s="2">
        <f t="shared" si="13"/>
        <v>42.84</v>
      </c>
    </row>
    <row r="87" spans="1:32" ht="24.75" customHeight="1" x14ac:dyDescent="0.2">
      <c r="A87" s="28" t="s">
        <v>161</v>
      </c>
      <c r="B87" s="29" t="s">
        <v>183</v>
      </c>
      <c r="C87" s="16">
        <v>203</v>
      </c>
      <c r="D87" s="30">
        <v>8.1999999999999993</v>
      </c>
      <c r="E87" s="30">
        <v>10.199999999999999</v>
      </c>
      <c r="F87" s="30">
        <v>50.02</v>
      </c>
      <c r="G87" s="30">
        <v>336.32</v>
      </c>
      <c r="H87" s="17">
        <v>0.03</v>
      </c>
      <c r="I87" s="17">
        <v>0.65</v>
      </c>
      <c r="J87" s="12"/>
      <c r="K87" s="17">
        <v>64.430000000000007</v>
      </c>
      <c r="L87" s="12"/>
      <c r="M87" s="12"/>
      <c r="N87" s="17">
        <v>0.4</v>
      </c>
      <c r="O87" s="2">
        <v>7.7</v>
      </c>
      <c r="P87" s="2">
        <f t="shared" si="13"/>
        <v>336.32400000000001</v>
      </c>
      <c r="Q87" s="95"/>
      <c r="R87" s="96"/>
      <c r="S87" s="96"/>
      <c r="T87" s="96"/>
      <c r="U87" s="96"/>
      <c r="V87" s="96"/>
      <c r="W87" s="96"/>
      <c r="X87" s="97"/>
      <c r="Y87" s="96"/>
      <c r="Z87" s="96"/>
      <c r="AA87" s="96"/>
      <c r="AB87" s="96"/>
      <c r="AC87" s="96"/>
    </row>
    <row r="88" spans="1:32" ht="12" customHeight="1" x14ac:dyDescent="0.2">
      <c r="A88" s="33" t="s">
        <v>163</v>
      </c>
      <c r="B88" s="154" t="s">
        <v>10</v>
      </c>
      <c r="C88" s="24">
        <v>200</v>
      </c>
      <c r="D88" s="148">
        <v>0</v>
      </c>
      <c r="E88" s="148">
        <v>0</v>
      </c>
      <c r="F88" s="148">
        <v>10</v>
      </c>
      <c r="G88" s="148">
        <v>42</v>
      </c>
      <c r="H88" s="12"/>
      <c r="I88" s="34">
        <v>0.28000000000000003</v>
      </c>
      <c r="J88" s="12"/>
      <c r="K88" s="34">
        <v>100.5</v>
      </c>
      <c r="L88" s="12"/>
      <c r="M88" s="12"/>
      <c r="N88" s="34">
        <v>0.09</v>
      </c>
      <c r="O88" s="2">
        <v>9</v>
      </c>
      <c r="P88" s="2">
        <f t="shared" si="13"/>
        <v>42</v>
      </c>
      <c r="Q88" s="95"/>
      <c r="R88" s="96"/>
      <c r="S88" s="96"/>
      <c r="T88" s="96"/>
      <c r="U88" s="96"/>
      <c r="V88" s="96"/>
      <c r="W88" s="96"/>
      <c r="X88" s="97"/>
      <c r="Y88" s="96"/>
      <c r="Z88" s="96"/>
      <c r="AA88" s="96"/>
      <c r="AB88" s="96"/>
      <c r="AC88" s="96"/>
    </row>
    <row r="89" spans="1:32" x14ac:dyDescent="0.2">
      <c r="A89" s="35"/>
      <c r="B89" s="122" t="s">
        <v>11</v>
      </c>
      <c r="C89" s="16">
        <v>40</v>
      </c>
      <c r="D89" s="57">
        <v>3.04</v>
      </c>
      <c r="E89" s="30">
        <v>0.32</v>
      </c>
      <c r="F89" s="57">
        <v>19.68</v>
      </c>
      <c r="G89" s="57">
        <v>98.34</v>
      </c>
      <c r="H89" s="17">
        <v>0.04</v>
      </c>
      <c r="I89" s="12"/>
      <c r="J89" s="12"/>
      <c r="K89" s="34">
        <v>7.6</v>
      </c>
      <c r="L89" s="12"/>
      <c r="M89" s="12"/>
      <c r="N89" s="17">
        <v>0.48</v>
      </c>
      <c r="O89" s="98">
        <v>4</v>
      </c>
      <c r="P89" s="2">
        <f t="shared" si="13"/>
        <v>98.303999999999988</v>
      </c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</row>
    <row r="90" spans="1:32" x14ac:dyDescent="0.2">
      <c r="A90" s="38"/>
      <c r="B90" s="39"/>
      <c r="C90" s="45">
        <f>SUM(C86:C89)</f>
        <v>543</v>
      </c>
      <c r="D90" s="149"/>
      <c r="E90" s="150"/>
      <c r="F90" s="149"/>
      <c r="G90" s="149"/>
      <c r="H90" s="42"/>
      <c r="I90" s="43"/>
      <c r="J90" s="44"/>
      <c r="K90" s="43"/>
      <c r="L90" s="44"/>
      <c r="M90" s="44"/>
      <c r="N90" s="43"/>
      <c r="P90" s="2">
        <f t="shared" si="13"/>
        <v>0</v>
      </c>
    </row>
    <row r="91" spans="1:32" x14ac:dyDescent="0.2">
      <c r="A91" s="38"/>
      <c r="B91" s="259" t="s">
        <v>67</v>
      </c>
      <c r="C91" s="260"/>
      <c r="D91" s="48">
        <f>D92+D93+D94+D95+D96</f>
        <v>23.54</v>
      </c>
      <c r="E91" s="48">
        <f>E92+E93+E94+E95+E96</f>
        <v>30.160000000000004</v>
      </c>
      <c r="F91" s="48">
        <f>F92+F93+F94+F95+F96</f>
        <v>81.580000000000013</v>
      </c>
      <c r="G91" s="48">
        <f>G92+G93+G94+G95+G96</f>
        <v>713.76</v>
      </c>
      <c r="H91" s="48" t="e">
        <f>H92+H93+H94+H95+#REF!+H96</f>
        <v>#REF!</v>
      </c>
      <c r="I91" s="48" t="e">
        <f>I92+I93+I94+I95+#REF!+I96</f>
        <v>#REF!</v>
      </c>
      <c r="J91" s="48" t="e">
        <f>J92+J93+J94+J95+#REF!+J96</f>
        <v>#REF!</v>
      </c>
      <c r="K91" s="48" t="e">
        <f>K92+K93+K94+K95+#REF!+K96</f>
        <v>#REF!</v>
      </c>
      <c r="L91" s="48" t="e">
        <f>L92+L93+L94+L95+#REF!+L96</f>
        <v>#REF!</v>
      </c>
      <c r="M91" s="48" t="e">
        <f>M92+M93+M94+M95+#REF!+M96</f>
        <v>#REF!</v>
      </c>
      <c r="N91" s="48" t="e">
        <f>N92+N93+N94+N95+#REF!+N96</f>
        <v>#REF!</v>
      </c>
      <c r="O91" s="99" t="e">
        <f>O92+O93+O94+O95+#REF!+O96</f>
        <v>#REF!</v>
      </c>
      <c r="P91" s="2">
        <f t="shared" si="13"/>
        <v>712.94400000000007</v>
      </c>
      <c r="Q91" s="89">
        <f>P91-705</f>
        <v>7.9440000000000737</v>
      </c>
      <c r="R91" s="2">
        <f>Q91/9</f>
        <v>0.88266666666667482</v>
      </c>
    </row>
    <row r="92" spans="1:32" ht="16.5" customHeight="1" x14ac:dyDescent="0.2">
      <c r="A92" s="49" t="s">
        <v>139</v>
      </c>
      <c r="B92" s="50" t="s">
        <v>140</v>
      </c>
      <c r="C92" s="51">
        <v>60</v>
      </c>
      <c r="D92" s="57">
        <v>0.9</v>
      </c>
      <c r="E92" s="57">
        <v>0.06</v>
      </c>
      <c r="F92" s="57">
        <v>5.28</v>
      </c>
      <c r="G92" s="57">
        <v>27</v>
      </c>
      <c r="H92" s="30">
        <v>0.02</v>
      </c>
      <c r="I92" s="30">
        <v>2.2999999999999998</v>
      </c>
      <c r="J92" s="30">
        <v>443</v>
      </c>
      <c r="K92" s="30">
        <v>14</v>
      </c>
      <c r="L92" s="30">
        <v>28</v>
      </c>
      <c r="M92" s="30">
        <v>17</v>
      </c>
      <c r="N92" s="30">
        <v>0.45</v>
      </c>
      <c r="O92" s="2">
        <v>9.1999999999999993</v>
      </c>
      <c r="P92" s="2">
        <f t="shared" si="13"/>
        <v>26.496000000000002</v>
      </c>
      <c r="S92" s="100"/>
      <c r="T92" s="101"/>
      <c r="U92" s="102"/>
      <c r="V92" s="102"/>
      <c r="W92" s="102"/>
      <c r="X92" s="102"/>
      <c r="Y92" s="102"/>
      <c r="Z92" s="96"/>
      <c r="AA92" s="96"/>
      <c r="AB92" s="96"/>
      <c r="AC92" s="96"/>
      <c r="AD92" s="96"/>
      <c r="AE92" s="96"/>
      <c r="AF92" s="96"/>
    </row>
    <row r="93" spans="1:32" ht="28.5" customHeight="1" x14ac:dyDescent="0.2">
      <c r="A93" s="28" t="s">
        <v>124</v>
      </c>
      <c r="B93" s="29" t="s">
        <v>159</v>
      </c>
      <c r="C93" s="16">
        <v>200</v>
      </c>
      <c r="D93" s="30">
        <f>3.96-0.86</f>
        <v>3.1</v>
      </c>
      <c r="E93" s="30">
        <f>4.86-0.84</f>
        <v>4.0200000000000005</v>
      </c>
      <c r="F93" s="30">
        <f>17.01-0.09</f>
        <v>16.920000000000002</v>
      </c>
      <c r="G93" s="30">
        <v>120.26</v>
      </c>
      <c r="H93" s="30" t="s">
        <v>118</v>
      </c>
      <c r="I93" s="30" t="s">
        <v>119</v>
      </c>
      <c r="J93" s="53"/>
      <c r="K93" s="30" t="s">
        <v>120</v>
      </c>
      <c r="L93" s="30" t="s">
        <v>121</v>
      </c>
      <c r="M93" s="30" t="s">
        <v>122</v>
      </c>
      <c r="N93" s="30" t="s">
        <v>123</v>
      </c>
      <c r="O93" s="2">
        <v>11.2</v>
      </c>
      <c r="P93" s="2">
        <f t="shared" si="13"/>
        <v>120.26400000000002</v>
      </c>
      <c r="S93" s="103"/>
      <c r="T93" s="104"/>
      <c r="U93" s="105"/>
      <c r="V93" s="106"/>
      <c r="W93" s="106"/>
      <c r="X93" s="106"/>
      <c r="Y93" s="106"/>
      <c r="Z93" s="106"/>
      <c r="AA93" s="106"/>
      <c r="AB93" s="97"/>
      <c r="AC93" s="106"/>
      <c r="AD93" s="106"/>
      <c r="AE93" s="106"/>
      <c r="AF93" s="96"/>
    </row>
    <row r="94" spans="1:32" x14ac:dyDescent="0.2">
      <c r="A94" s="70">
        <v>218</v>
      </c>
      <c r="B94" s="50" t="s">
        <v>149</v>
      </c>
      <c r="C94" s="37">
        <v>200</v>
      </c>
      <c r="D94" s="57">
        <v>16.48</v>
      </c>
      <c r="E94" s="57">
        <v>25.76</v>
      </c>
      <c r="F94" s="57">
        <v>10.39</v>
      </c>
      <c r="G94" s="57">
        <v>345</v>
      </c>
      <c r="H94" s="37">
        <v>0.09</v>
      </c>
      <c r="I94" s="37">
        <v>0.94</v>
      </c>
      <c r="J94" s="37"/>
      <c r="K94" s="37">
        <v>50</v>
      </c>
      <c r="L94" s="37">
        <v>87.8</v>
      </c>
      <c r="M94" s="37">
        <v>18.72</v>
      </c>
      <c r="N94" s="37">
        <v>1.28</v>
      </c>
      <c r="O94" s="2">
        <v>39</v>
      </c>
      <c r="P94" s="2">
        <f t="shared" si="13"/>
        <v>344.69400000000002</v>
      </c>
    </row>
    <row r="95" spans="1:32" ht="24" x14ac:dyDescent="0.2">
      <c r="A95" s="158" t="s">
        <v>40</v>
      </c>
      <c r="B95" s="50" t="s">
        <v>203</v>
      </c>
      <c r="C95" s="37">
        <v>200</v>
      </c>
      <c r="D95" s="57">
        <v>0.02</v>
      </c>
      <c r="E95" s="57"/>
      <c r="F95" s="57">
        <v>29.31</v>
      </c>
      <c r="G95" s="57">
        <v>123.16</v>
      </c>
      <c r="H95" s="37">
        <v>0.15</v>
      </c>
      <c r="I95" s="54">
        <v>21</v>
      </c>
      <c r="J95" s="37"/>
      <c r="K95" s="37">
        <v>14.64</v>
      </c>
      <c r="L95" s="37">
        <v>79.73</v>
      </c>
      <c r="M95" s="37">
        <v>29.33</v>
      </c>
      <c r="N95" s="37">
        <v>1.1599999999999999</v>
      </c>
      <c r="O95" s="2">
        <v>23</v>
      </c>
      <c r="P95" s="2">
        <f t="shared" si="13"/>
        <v>123.18599999999999</v>
      </c>
      <c r="Q95" s="107"/>
      <c r="R95" s="108"/>
      <c r="S95" s="102"/>
      <c r="T95" s="102"/>
      <c r="U95" s="102"/>
      <c r="V95" s="102"/>
      <c r="W95" s="102"/>
      <c r="X95" s="102"/>
      <c r="Y95" s="66"/>
      <c r="Z95" s="102"/>
      <c r="AA95" s="102"/>
      <c r="AB95" s="102"/>
      <c r="AC95" s="102"/>
      <c r="AD95" s="102"/>
    </row>
    <row r="96" spans="1:32" x14ac:dyDescent="0.2">
      <c r="A96" s="28"/>
      <c r="B96" s="155" t="s">
        <v>11</v>
      </c>
      <c r="C96" s="40">
        <v>40</v>
      </c>
      <c r="D96" s="149">
        <v>3.04</v>
      </c>
      <c r="E96" s="150">
        <v>0.32</v>
      </c>
      <c r="F96" s="149">
        <v>19.68</v>
      </c>
      <c r="G96" s="149">
        <v>98.34</v>
      </c>
      <c r="H96" s="30">
        <v>0.04</v>
      </c>
      <c r="I96" s="53"/>
      <c r="J96" s="53"/>
      <c r="K96" s="57">
        <v>7.25</v>
      </c>
      <c r="L96" s="53">
        <v>32.5</v>
      </c>
      <c r="M96" s="53">
        <v>10.5</v>
      </c>
      <c r="N96" s="30">
        <v>0.9</v>
      </c>
      <c r="O96" s="2">
        <v>3</v>
      </c>
      <c r="P96" s="2">
        <f t="shared" si="13"/>
        <v>98.303999999999988</v>
      </c>
    </row>
    <row r="97" spans="1:36" x14ac:dyDescent="0.2">
      <c r="A97" s="28"/>
      <c r="B97" s="27"/>
      <c r="C97" s="72">
        <f>SUM(C92:C96)</f>
        <v>700</v>
      </c>
      <c r="D97" s="57"/>
      <c r="E97" s="30"/>
      <c r="F97" s="57"/>
      <c r="G97" s="57"/>
      <c r="H97" s="30"/>
      <c r="I97" s="53"/>
      <c r="J97" s="53"/>
      <c r="K97" s="57"/>
      <c r="L97" s="53"/>
      <c r="M97" s="53"/>
      <c r="N97" s="30"/>
      <c r="P97" s="2">
        <f t="shared" si="13"/>
        <v>0</v>
      </c>
    </row>
    <row r="98" spans="1:36" x14ac:dyDescent="0.2">
      <c r="A98" s="257" t="s">
        <v>64</v>
      </c>
      <c r="B98" s="262"/>
      <c r="C98" s="258"/>
      <c r="D98" s="63">
        <f t="shared" ref="D98:O98" si="16">D99+D105</f>
        <v>38.839700000000001</v>
      </c>
      <c r="E98" s="63">
        <f t="shared" si="16"/>
        <v>41.879300000000001</v>
      </c>
      <c r="F98" s="63">
        <f t="shared" si="16"/>
        <v>212.96030000000002</v>
      </c>
      <c r="G98" s="63">
        <f t="shared" si="16"/>
        <v>1456.4960000000001</v>
      </c>
      <c r="H98" s="63" t="e">
        <f t="shared" si="16"/>
        <v>#REF!</v>
      </c>
      <c r="I98" s="63" t="e">
        <f t="shared" si="16"/>
        <v>#REF!</v>
      </c>
      <c r="J98" s="63" t="e">
        <f t="shared" si="16"/>
        <v>#REF!</v>
      </c>
      <c r="K98" s="63" t="e">
        <f t="shared" si="16"/>
        <v>#REF!</v>
      </c>
      <c r="L98" s="63" t="e">
        <f t="shared" si="16"/>
        <v>#REF!</v>
      </c>
      <c r="M98" s="63" t="e">
        <f t="shared" si="16"/>
        <v>#REF!</v>
      </c>
      <c r="N98" s="63" t="e">
        <f t="shared" si="16"/>
        <v>#REF!</v>
      </c>
      <c r="O98" s="64" t="e">
        <f t="shared" si="16"/>
        <v>#REF!</v>
      </c>
      <c r="P98" s="2">
        <f t="shared" si="13"/>
        <v>1434.4737000000002</v>
      </c>
    </row>
    <row r="99" spans="1:36" x14ac:dyDescent="0.2">
      <c r="A99" s="109"/>
      <c r="B99" s="257" t="s">
        <v>66</v>
      </c>
      <c r="C99" s="258"/>
      <c r="D99" s="63">
        <f>D100+D101+D102+D103</f>
        <v>18.409700000000001</v>
      </c>
      <c r="E99" s="63">
        <f t="shared" ref="E99:F99" si="17">E100+E101+E102+E103</f>
        <v>11.3093</v>
      </c>
      <c r="F99" s="63">
        <f t="shared" si="17"/>
        <v>136.09030000000001</v>
      </c>
      <c r="G99" s="63">
        <f>G100+G101+G102+G103</f>
        <v>751.44600000000003</v>
      </c>
      <c r="H99" s="80" t="e">
        <f>H100+H101+#REF!+H103</f>
        <v>#REF!</v>
      </c>
      <c r="I99" s="80" t="e">
        <f>I100+I101+#REF!+I103</f>
        <v>#REF!</v>
      </c>
      <c r="J99" s="80" t="e">
        <f>J100+J101+#REF!+J103</f>
        <v>#REF!</v>
      </c>
      <c r="K99" s="80" t="e">
        <f>K100+K101+#REF!+K103</f>
        <v>#REF!</v>
      </c>
      <c r="L99" s="80" t="e">
        <f>L100+L101+#REF!+L103</f>
        <v>#REF!</v>
      </c>
      <c r="M99" s="80" t="e">
        <f>M100+M101+#REF!+M103</f>
        <v>#REF!</v>
      </c>
      <c r="N99" s="80" t="e">
        <f>N100+N101+#REF!+N103</f>
        <v>#REF!</v>
      </c>
      <c r="O99" s="110" t="e">
        <f>O100+O101+#REF!+O103</f>
        <v>#REF!</v>
      </c>
      <c r="P99" s="2">
        <f t="shared" si="13"/>
        <v>750.68370000000004</v>
      </c>
    </row>
    <row r="100" spans="1:36" ht="26.25" customHeight="1" x14ac:dyDescent="0.2">
      <c r="A100" s="54" t="s">
        <v>161</v>
      </c>
      <c r="B100" s="29" t="s">
        <v>187</v>
      </c>
      <c r="C100" s="16">
        <v>203</v>
      </c>
      <c r="D100" s="57">
        <v>7.16</v>
      </c>
      <c r="E100" s="57">
        <v>4.66</v>
      </c>
      <c r="F100" s="57">
        <v>40.520000000000003</v>
      </c>
      <c r="G100" s="57">
        <v>242.96</v>
      </c>
      <c r="H100" s="34">
        <v>0.06</v>
      </c>
      <c r="I100" s="34">
        <v>2.82</v>
      </c>
      <c r="J100" s="12"/>
      <c r="K100" s="34">
        <v>14.58</v>
      </c>
      <c r="L100" s="34">
        <v>25.31</v>
      </c>
      <c r="M100" s="34">
        <v>6.62</v>
      </c>
      <c r="N100" s="34">
        <v>1.51</v>
      </c>
      <c r="O100" s="2">
        <v>38</v>
      </c>
      <c r="P100" s="2">
        <f t="shared" si="13"/>
        <v>242.19600000000003</v>
      </c>
      <c r="Q100" s="104"/>
      <c r="R100" s="105"/>
      <c r="S100" s="105"/>
      <c r="T100" s="105"/>
      <c r="U100" s="105"/>
      <c r="V100" s="105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</row>
    <row r="101" spans="1:36" ht="13.5" customHeight="1" x14ac:dyDescent="0.2">
      <c r="A101" s="143" t="s">
        <v>179</v>
      </c>
      <c r="B101" s="50" t="s">
        <v>177</v>
      </c>
      <c r="C101" s="37">
        <v>100</v>
      </c>
      <c r="D101" s="57">
        <f>4.91*1.67</f>
        <v>8.1997</v>
      </c>
      <c r="E101" s="57">
        <f>3.79*1.67</f>
        <v>6.3292999999999999</v>
      </c>
      <c r="F101" s="57">
        <f>36.09*1.67</f>
        <v>60.270300000000006</v>
      </c>
      <c r="G101" s="57">
        <v>344.5</v>
      </c>
      <c r="H101" s="34">
        <v>0.3</v>
      </c>
      <c r="I101" s="12">
        <v>0.15</v>
      </c>
      <c r="J101" s="34">
        <v>21</v>
      </c>
      <c r="K101" s="34">
        <v>15.38</v>
      </c>
      <c r="L101" s="34">
        <v>208.35</v>
      </c>
      <c r="M101" s="34">
        <v>138.65</v>
      </c>
      <c r="N101" s="34">
        <v>4.66</v>
      </c>
      <c r="O101" s="2">
        <v>16</v>
      </c>
      <c r="P101" s="2">
        <f t="shared" si="13"/>
        <v>344.53770000000003</v>
      </c>
      <c r="Q101" s="108"/>
      <c r="R101" s="102"/>
      <c r="S101" s="102"/>
      <c r="T101" s="102"/>
      <c r="U101" s="102"/>
      <c r="V101" s="10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</row>
    <row r="102" spans="1:36" ht="14.25" customHeight="1" x14ac:dyDescent="0.2">
      <c r="A102" s="41">
        <v>323</v>
      </c>
      <c r="B102" s="50" t="s">
        <v>151</v>
      </c>
      <c r="C102" s="37">
        <v>200</v>
      </c>
      <c r="D102" s="57">
        <v>0.01</v>
      </c>
      <c r="E102" s="53"/>
      <c r="F102" s="57">
        <v>15.62</v>
      </c>
      <c r="G102" s="57">
        <v>65.646000000000001</v>
      </c>
      <c r="H102" s="34"/>
      <c r="I102" s="34"/>
      <c r="J102" s="12"/>
      <c r="K102" s="34"/>
      <c r="L102" s="12"/>
      <c r="M102" s="12"/>
      <c r="N102" s="34"/>
      <c r="P102" s="2">
        <f t="shared" si="13"/>
        <v>65.646000000000001</v>
      </c>
      <c r="Q102" s="108"/>
      <c r="R102" s="102"/>
      <c r="S102" s="102"/>
      <c r="T102" s="66"/>
      <c r="U102" s="102"/>
      <c r="V102" s="102"/>
      <c r="W102" s="111"/>
      <c r="X102" s="112"/>
      <c r="Y102" s="112"/>
      <c r="Z102" s="111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</row>
    <row r="103" spans="1:36" ht="14.25" customHeight="1" x14ac:dyDescent="0.2">
      <c r="A103" s="28"/>
      <c r="B103" s="50" t="s">
        <v>11</v>
      </c>
      <c r="C103" s="16">
        <v>40</v>
      </c>
      <c r="D103" s="57">
        <v>3.04</v>
      </c>
      <c r="E103" s="30">
        <v>0.32</v>
      </c>
      <c r="F103" s="57">
        <v>19.68</v>
      </c>
      <c r="G103" s="57">
        <v>98.34</v>
      </c>
      <c r="H103" s="17">
        <v>0.1</v>
      </c>
      <c r="I103" s="12"/>
      <c r="J103" s="12"/>
      <c r="K103" s="34">
        <v>17.399999999999999</v>
      </c>
      <c r="L103" s="12">
        <v>78</v>
      </c>
      <c r="M103" s="12">
        <v>25.2</v>
      </c>
      <c r="N103" s="17">
        <v>2.16</v>
      </c>
      <c r="O103" s="2">
        <v>3</v>
      </c>
      <c r="P103" s="2">
        <f t="shared" si="13"/>
        <v>98.303999999999988</v>
      </c>
      <c r="Q103" s="108"/>
      <c r="R103" s="95"/>
      <c r="S103" s="102"/>
      <c r="T103" s="95"/>
      <c r="U103" s="102"/>
      <c r="V103" s="102"/>
      <c r="W103" s="113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2"/>
      <c r="AH103" s="111"/>
      <c r="AI103" s="111"/>
      <c r="AJ103" s="113"/>
    </row>
    <row r="104" spans="1:36" ht="15" customHeight="1" x14ac:dyDescent="0.2">
      <c r="A104" s="28"/>
      <c r="B104" s="23"/>
      <c r="C104" s="45">
        <f>SUM(C100:C103)</f>
        <v>543</v>
      </c>
      <c r="D104" s="149"/>
      <c r="E104" s="150"/>
      <c r="F104" s="149"/>
      <c r="G104" s="149"/>
      <c r="H104" s="42"/>
      <c r="I104" s="43"/>
      <c r="J104" s="44"/>
      <c r="K104" s="43"/>
      <c r="L104" s="44"/>
      <c r="M104" s="44"/>
      <c r="N104" s="43"/>
      <c r="P104" s="2">
        <f t="shared" si="13"/>
        <v>0</v>
      </c>
      <c r="Q104" s="101"/>
      <c r="R104" s="105"/>
      <c r="S104" s="105"/>
      <c r="T104" s="105"/>
      <c r="U104" s="105"/>
      <c r="V104" s="105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11"/>
    </row>
    <row r="105" spans="1:36" ht="17.25" customHeight="1" x14ac:dyDescent="0.2">
      <c r="A105" s="61"/>
      <c r="B105" s="259" t="s">
        <v>67</v>
      </c>
      <c r="C105" s="260"/>
      <c r="D105" s="48">
        <f>D106+D107+D108+D109+D110+D111</f>
        <v>20.43</v>
      </c>
      <c r="E105" s="48">
        <f>E106+E107+E108+E109+E110+E111</f>
        <v>30.57</v>
      </c>
      <c r="F105" s="48">
        <f>F106+F107+F108+F109+F110+F111</f>
        <v>76.86999999999999</v>
      </c>
      <c r="G105" s="48">
        <f>G106+G107+G108+G109+G110+G111</f>
        <v>705.05</v>
      </c>
      <c r="H105" s="48">
        <v>0.71</v>
      </c>
      <c r="I105" s="48">
        <v>129.11000000000001</v>
      </c>
      <c r="J105" s="48">
        <f>J106+J107+J108+J110+J111</f>
        <v>0</v>
      </c>
      <c r="K105" s="48">
        <v>153.91</v>
      </c>
      <c r="L105" s="48">
        <v>204.2</v>
      </c>
      <c r="M105" s="48">
        <v>74.52</v>
      </c>
      <c r="N105" s="48">
        <v>4.62</v>
      </c>
      <c r="O105" s="99">
        <v>84.3</v>
      </c>
      <c r="P105" s="2">
        <f t="shared" si="13"/>
        <v>683.79</v>
      </c>
      <c r="Q105" s="101"/>
      <c r="R105" s="105"/>
      <c r="S105" s="105"/>
      <c r="T105" s="105"/>
      <c r="U105" s="105"/>
      <c r="V105" s="105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</row>
    <row r="106" spans="1:36" ht="15" customHeight="1" x14ac:dyDescent="0.2">
      <c r="A106" s="49" t="s">
        <v>173</v>
      </c>
      <c r="B106" s="50" t="s">
        <v>136</v>
      </c>
      <c r="C106" s="147">
        <v>60</v>
      </c>
      <c r="D106" s="57">
        <v>0.94</v>
      </c>
      <c r="E106" s="57">
        <v>3.06</v>
      </c>
      <c r="F106" s="57">
        <v>5.66</v>
      </c>
      <c r="G106" s="57">
        <v>55.26</v>
      </c>
      <c r="H106" s="34">
        <v>0.04</v>
      </c>
      <c r="I106" s="34">
        <v>15</v>
      </c>
      <c r="J106" s="53"/>
      <c r="K106" s="34">
        <v>8.4</v>
      </c>
      <c r="L106" s="34"/>
      <c r="M106" s="34"/>
      <c r="N106" s="34">
        <v>0.54</v>
      </c>
      <c r="O106" s="2">
        <v>10.9</v>
      </c>
      <c r="P106" s="2">
        <f t="shared" si="13"/>
        <v>55.26</v>
      </c>
      <c r="Q106" s="101"/>
      <c r="R106" s="105"/>
      <c r="S106" s="105"/>
      <c r="T106" s="105"/>
      <c r="U106" s="105"/>
      <c r="V106" s="105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</row>
    <row r="107" spans="1:36" ht="12" customHeight="1" x14ac:dyDescent="0.2">
      <c r="A107" s="166" t="s">
        <v>168</v>
      </c>
      <c r="B107" s="79" t="s">
        <v>191</v>
      </c>
      <c r="C107" s="142">
        <v>200</v>
      </c>
      <c r="D107" s="57">
        <f>4.65-0.09</f>
        <v>4.5600000000000005</v>
      </c>
      <c r="E107" s="57">
        <f>6.92-0.02</f>
        <v>6.9</v>
      </c>
      <c r="F107" s="57">
        <f>12.49-0.27</f>
        <v>12.22</v>
      </c>
      <c r="G107" s="57">
        <v>132.58000000000001</v>
      </c>
      <c r="H107" s="76" t="s">
        <v>70</v>
      </c>
      <c r="I107" s="76" t="s">
        <v>107</v>
      </c>
      <c r="J107" s="53"/>
      <c r="K107" s="76" t="s">
        <v>108</v>
      </c>
      <c r="L107" s="76" t="s">
        <v>109</v>
      </c>
      <c r="M107" s="76" t="s">
        <v>110</v>
      </c>
      <c r="N107" s="30" t="s">
        <v>111</v>
      </c>
      <c r="O107" s="114">
        <v>17.600000000000001</v>
      </c>
      <c r="P107" s="2">
        <f t="shared" si="13"/>
        <v>132.57600000000002</v>
      </c>
      <c r="Q107" s="101"/>
      <c r="R107" s="105"/>
      <c r="S107" s="105"/>
      <c r="T107" s="105"/>
      <c r="U107" s="105"/>
      <c r="V107" s="105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</row>
    <row r="108" spans="1:36" ht="14.25" customHeight="1" x14ac:dyDescent="0.2">
      <c r="A108" s="166">
        <v>203</v>
      </c>
      <c r="B108" s="79" t="s">
        <v>181</v>
      </c>
      <c r="C108" s="142">
        <v>100</v>
      </c>
      <c r="D108" s="57">
        <v>9.6300000000000008</v>
      </c>
      <c r="E108" s="57">
        <v>12.61</v>
      </c>
      <c r="F108" s="57">
        <v>8.51</v>
      </c>
      <c r="G108" s="57">
        <v>189.68</v>
      </c>
      <c r="H108" s="34">
        <v>0.46</v>
      </c>
      <c r="I108" s="34">
        <v>1.78</v>
      </c>
      <c r="J108" s="34"/>
      <c r="K108" s="34">
        <v>10.16</v>
      </c>
      <c r="L108" s="34">
        <v>8.5399999999999991</v>
      </c>
      <c r="M108" s="34">
        <v>1.88</v>
      </c>
      <c r="N108" s="34">
        <v>1.1399999999999999</v>
      </c>
      <c r="O108" s="2">
        <v>33</v>
      </c>
      <c r="P108" s="2">
        <f t="shared" si="13"/>
        <v>189.678</v>
      </c>
      <c r="Q108" s="101"/>
      <c r="R108" s="105"/>
      <c r="S108" s="105"/>
      <c r="T108" s="105"/>
      <c r="U108" s="105"/>
      <c r="V108" s="105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</row>
    <row r="109" spans="1:36" ht="14.25" customHeight="1" x14ac:dyDescent="0.2">
      <c r="A109" s="22" t="s">
        <v>34</v>
      </c>
      <c r="B109" s="50" t="s">
        <v>32</v>
      </c>
      <c r="C109" s="142">
        <v>150</v>
      </c>
      <c r="D109" s="57">
        <v>3.26</v>
      </c>
      <c r="E109" s="57">
        <v>7.8</v>
      </c>
      <c r="F109" s="57">
        <v>21.99</v>
      </c>
      <c r="G109" s="57">
        <v>176.3</v>
      </c>
      <c r="H109" s="17">
        <v>0.05</v>
      </c>
      <c r="I109" s="17">
        <v>95.18</v>
      </c>
      <c r="J109" s="54"/>
      <c r="K109" s="34">
        <v>104.13</v>
      </c>
      <c r="L109" s="34">
        <v>72.31</v>
      </c>
      <c r="M109" s="34">
        <v>35.840000000000003</v>
      </c>
      <c r="N109" s="34">
        <v>1.44</v>
      </c>
      <c r="O109" s="2">
        <v>17</v>
      </c>
      <c r="P109" s="2">
        <f t="shared" si="13"/>
        <v>176.25</v>
      </c>
      <c r="Q109" s="101"/>
      <c r="R109" s="105"/>
      <c r="S109" s="105"/>
      <c r="T109" s="105"/>
      <c r="U109" s="105"/>
      <c r="V109" s="105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</row>
    <row r="110" spans="1:36" ht="14.25" customHeight="1" x14ac:dyDescent="0.2">
      <c r="A110" s="165" t="s">
        <v>175</v>
      </c>
      <c r="B110" s="29" t="s">
        <v>90</v>
      </c>
      <c r="C110" s="141">
        <v>200</v>
      </c>
      <c r="D110" s="151">
        <v>0.14000000000000001</v>
      </c>
      <c r="E110" s="151"/>
      <c r="F110" s="30">
        <v>16.190000000000001</v>
      </c>
      <c r="G110" s="30">
        <v>89.23</v>
      </c>
      <c r="H110" s="77">
        <v>0.01</v>
      </c>
      <c r="I110" s="77">
        <v>0.65</v>
      </c>
      <c r="J110" s="78"/>
      <c r="K110" s="34">
        <v>0.47</v>
      </c>
      <c r="L110" s="12"/>
      <c r="M110" s="12"/>
      <c r="N110" s="34">
        <v>0.04</v>
      </c>
      <c r="O110" s="2">
        <v>3</v>
      </c>
      <c r="P110" s="2">
        <f t="shared" si="13"/>
        <v>68.586000000000013</v>
      </c>
      <c r="Q110" s="101"/>
      <c r="R110" s="105"/>
      <c r="S110" s="105"/>
      <c r="T110" s="105"/>
      <c r="U110" s="105"/>
      <c r="V110" s="105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</row>
    <row r="111" spans="1:36" ht="13.5" customHeight="1" x14ac:dyDescent="0.2">
      <c r="A111" s="35"/>
      <c r="B111" s="122" t="s">
        <v>11</v>
      </c>
      <c r="C111" s="141">
        <v>25</v>
      </c>
      <c r="D111" s="57">
        <f>1.52*1.25</f>
        <v>1.9</v>
      </c>
      <c r="E111" s="30">
        <f>0.16*1.25</f>
        <v>0.2</v>
      </c>
      <c r="F111" s="57">
        <f>9.84*1.25</f>
        <v>12.3</v>
      </c>
      <c r="G111" s="57">
        <v>62</v>
      </c>
      <c r="H111" s="16">
        <v>0.04</v>
      </c>
      <c r="I111" s="54"/>
      <c r="J111" s="54"/>
      <c r="K111" s="37">
        <v>8</v>
      </c>
      <c r="L111" s="54">
        <v>26</v>
      </c>
      <c r="M111" s="54">
        <v>5.6</v>
      </c>
      <c r="N111" s="16">
        <v>0.44</v>
      </c>
      <c r="O111" s="2">
        <v>2.8</v>
      </c>
      <c r="P111" s="2">
        <f t="shared" si="13"/>
        <v>61.440000000000005</v>
      </c>
      <c r="Q111" s="101"/>
      <c r="R111" s="105"/>
      <c r="S111" s="105"/>
      <c r="T111" s="105"/>
      <c r="U111" s="105"/>
      <c r="V111" s="105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</row>
    <row r="112" spans="1:36" x14ac:dyDescent="0.2">
      <c r="A112" s="115"/>
      <c r="B112" s="116"/>
      <c r="C112" s="140">
        <f>SUM(C106:C111)</f>
        <v>735</v>
      </c>
      <c r="D112" s="57"/>
      <c r="E112" s="30"/>
      <c r="F112" s="57"/>
      <c r="G112" s="57"/>
      <c r="H112" s="17"/>
      <c r="I112" s="12"/>
      <c r="J112" s="12"/>
      <c r="K112" s="34"/>
      <c r="L112" s="12"/>
      <c r="M112" s="12"/>
      <c r="N112" s="17"/>
      <c r="P112" s="2">
        <f t="shared" si="13"/>
        <v>0</v>
      </c>
      <c r="Q112" s="108"/>
      <c r="R112" s="118"/>
      <c r="S112" s="102"/>
      <c r="T112" s="95"/>
      <c r="U112" s="102"/>
      <c r="V112" s="102"/>
      <c r="W112" s="113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2"/>
      <c r="AH112" s="111"/>
      <c r="AI112" s="111"/>
      <c r="AJ112" s="113"/>
    </row>
    <row r="113" spans="1:16" x14ac:dyDescent="0.2">
      <c r="A113" s="84" t="s">
        <v>30</v>
      </c>
      <c r="B113" s="261" t="s">
        <v>13</v>
      </c>
      <c r="C113" s="261"/>
      <c r="D113" s="63">
        <f t="shared" ref="D113:O113" si="18">D114+D120</f>
        <v>39.03</v>
      </c>
      <c r="E113" s="63">
        <f t="shared" si="18"/>
        <v>49.67</v>
      </c>
      <c r="F113" s="63">
        <f t="shared" si="18"/>
        <v>181.64</v>
      </c>
      <c r="G113" s="63">
        <f>G114+G120</f>
        <v>1376.01</v>
      </c>
      <c r="H113" s="63" t="e">
        <f t="shared" si="18"/>
        <v>#REF!</v>
      </c>
      <c r="I113" s="63" t="e">
        <f t="shared" si="18"/>
        <v>#REF!</v>
      </c>
      <c r="J113" s="63" t="e">
        <f t="shared" si="18"/>
        <v>#REF!</v>
      </c>
      <c r="K113" s="63" t="e">
        <f t="shared" si="18"/>
        <v>#REF!</v>
      </c>
      <c r="L113" s="63" t="e">
        <f t="shared" si="18"/>
        <v>#REF!</v>
      </c>
      <c r="M113" s="63" t="e">
        <f t="shared" si="18"/>
        <v>#REF!</v>
      </c>
      <c r="N113" s="63" t="e">
        <f t="shared" si="18"/>
        <v>#REF!</v>
      </c>
      <c r="O113" s="64" t="e">
        <f t="shared" si="18"/>
        <v>#REF!</v>
      </c>
      <c r="P113" s="2">
        <f t="shared" si="13"/>
        <v>1373.8440000000001</v>
      </c>
    </row>
    <row r="114" spans="1:16" x14ac:dyDescent="0.2">
      <c r="A114" s="84"/>
      <c r="B114" s="257" t="s">
        <v>66</v>
      </c>
      <c r="C114" s="258"/>
      <c r="D114" s="63">
        <f>D115+D116+D117+D118</f>
        <v>14.559999999999999</v>
      </c>
      <c r="E114" s="63">
        <f>E115+E116+E117+E118</f>
        <v>11.52</v>
      </c>
      <c r="F114" s="63">
        <f>F115+F116+F117+F118</f>
        <v>104.85</v>
      </c>
      <c r="G114" s="63">
        <f>G115+G116+G117+G118</f>
        <v>606.87</v>
      </c>
      <c r="H114" s="63" t="e">
        <f>H115+H116+H117+H118+#REF!</f>
        <v>#REF!</v>
      </c>
      <c r="I114" s="63" t="e">
        <f>I115+I116+I117+I118+#REF!</f>
        <v>#REF!</v>
      </c>
      <c r="J114" s="63" t="e">
        <f>J115+J116+J117+J118+#REF!</f>
        <v>#REF!</v>
      </c>
      <c r="K114" s="63" t="e">
        <f>K115+K116+K117+K118+#REF!</f>
        <v>#REF!</v>
      </c>
      <c r="L114" s="63" t="e">
        <f>L115+L116+L117+L118+#REF!</f>
        <v>#REF!</v>
      </c>
      <c r="M114" s="63" t="e">
        <f>M115+M116+M117+M118+#REF!</f>
        <v>#REF!</v>
      </c>
      <c r="N114" s="63" t="e">
        <f>N115+N116+N117+N118+#REF!</f>
        <v>#REF!</v>
      </c>
      <c r="O114" s="64" t="e">
        <f>O115+O116+O117+O118+#REF!</f>
        <v>#REF!</v>
      </c>
      <c r="P114" s="2">
        <f t="shared" si="13"/>
        <v>605.202</v>
      </c>
    </row>
    <row r="115" spans="1:16" ht="24" x14ac:dyDescent="0.2">
      <c r="A115" s="177" t="s">
        <v>161</v>
      </c>
      <c r="B115" s="178" t="s">
        <v>184</v>
      </c>
      <c r="C115" s="37">
        <v>203</v>
      </c>
      <c r="D115" s="179">
        <f>7.02</f>
        <v>7.02</v>
      </c>
      <c r="E115" s="179">
        <f>4.12</f>
        <v>4.12</v>
      </c>
      <c r="F115" s="179">
        <f>30.23</f>
        <v>30.23</v>
      </c>
      <c r="G115" s="179">
        <v>193.53</v>
      </c>
      <c r="H115" s="12">
        <v>0.1</v>
      </c>
      <c r="I115" s="12">
        <v>6.03</v>
      </c>
      <c r="J115" s="12">
        <v>92.4</v>
      </c>
      <c r="K115" s="12">
        <v>52.89</v>
      </c>
      <c r="L115" s="12">
        <v>193.68</v>
      </c>
      <c r="M115" s="12">
        <v>44.45</v>
      </c>
      <c r="N115" s="12">
        <v>1.01</v>
      </c>
      <c r="O115" s="2">
        <v>35</v>
      </c>
      <c r="P115" s="2">
        <f t="shared" si="13"/>
        <v>193.53000000000003</v>
      </c>
    </row>
    <row r="116" spans="1:16" x14ac:dyDescent="0.2">
      <c r="A116" s="28"/>
      <c r="B116" s="27" t="s">
        <v>62</v>
      </c>
      <c r="C116" s="37">
        <v>60</v>
      </c>
      <c r="D116" s="57">
        <f>1.5*3</f>
        <v>4.5</v>
      </c>
      <c r="E116" s="53">
        <f>2.36*3</f>
        <v>7.08</v>
      </c>
      <c r="F116" s="57">
        <f>14.98*3</f>
        <v>44.94</v>
      </c>
      <c r="G116" s="57">
        <f>91*3</f>
        <v>273</v>
      </c>
      <c r="H116" s="34">
        <v>0.19</v>
      </c>
      <c r="I116" s="34">
        <v>31.07</v>
      </c>
      <c r="J116" s="34">
        <v>25.2</v>
      </c>
      <c r="K116" s="34">
        <v>49.59</v>
      </c>
      <c r="L116" s="34">
        <v>91.3</v>
      </c>
      <c r="M116" s="34">
        <v>35.39</v>
      </c>
      <c r="N116" s="34">
        <v>1.43</v>
      </c>
      <c r="O116" s="2">
        <v>23</v>
      </c>
      <c r="P116" s="2">
        <f t="shared" si="13"/>
        <v>271.36799999999999</v>
      </c>
    </row>
    <row r="117" spans="1:16" x14ac:dyDescent="0.2">
      <c r="A117" s="33" t="s">
        <v>163</v>
      </c>
      <c r="B117" s="50" t="s">
        <v>10</v>
      </c>
      <c r="C117" s="36">
        <v>200</v>
      </c>
      <c r="D117" s="57">
        <v>0</v>
      </c>
      <c r="E117" s="30">
        <v>0</v>
      </c>
      <c r="F117" s="57">
        <v>10</v>
      </c>
      <c r="G117" s="57">
        <v>42</v>
      </c>
      <c r="H117" s="12"/>
      <c r="I117" s="34">
        <v>2.4</v>
      </c>
      <c r="J117" s="12"/>
      <c r="K117" s="34">
        <v>2.87</v>
      </c>
      <c r="L117" s="34">
        <v>1.32</v>
      </c>
      <c r="M117" s="34">
        <v>0.72</v>
      </c>
      <c r="N117" s="34">
        <v>0.08</v>
      </c>
      <c r="O117" s="2">
        <v>5</v>
      </c>
      <c r="P117" s="2">
        <f t="shared" si="13"/>
        <v>42</v>
      </c>
    </row>
    <row r="118" spans="1:16" x14ac:dyDescent="0.2">
      <c r="A118" s="38"/>
      <c r="B118" s="155" t="s">
        <v>11</v>
      </c>
      <c r="C118" s="40">
        <v>40</v>
      </c>
      <c r="D118" s="149">
        <v>3.04</v>
      </c>
      <c r="E118" s="150">
        <v>0.32</v>
      </c>
      <c r="F118" s="149">
        <v>19.68</v>
      </c>
      <c r="G118" s="149">
        <v>98.34</v>
      </c>
      <c r="H118" s="17">
        <v>0.04</v>
      </c>
      <c r="I118" s="12"/>
      <c r="J118" s="12"/>
      <c r="K118" s="34">
        <v>8</v>
      </c>
      <c r="L118" s="12">
        <v>26</v>
      </c>
      <c r="M118" s="12">
        <v>5.6</v>
      </c>
      <c r="N118" s="17">
        <v>0.44</v>
      </c>
      <c r="O118" s="2">
        <v>2.8</v>
      </c>
      <c r="P118" s="2">
        <f t="shared" si="13"/>
        <v>98.303999999999988</v>
      </c>
    </row>
    <row r="119" spans="1:16" x14ac:dyDescent="0.2">
      <c r="A119" s="35"/>
      <c r="B119" s="27"/>
      <c r="C119" s="117">
        <f>SUM(C115:C118)</f>
        <v>503</v>
      </c>
      <c r="D119" s="57"/>
      <c r="E119" s="30"/>
      <c r="F119" s="57"/>
      <c r="G119" s="57"/>
      <c r="H119" s="17"/>
      <c r="I119" s="12"/>
      <c r="J119" s="12"/>
      <c r="K119" s="34"/>
      <c r="L119" s="12"/>
      <c r="M119" s="12"/>
      <c r="N119" s="17"/>
      <c r="P119" s="2">
        <f t="shared" si="13"/>
        <v>0</v>
      </c>
    </row>
    <row r="120" spans="1:16" x14ac:dyDescent="0.2">
      <c r="A120" s="35"/>
      <c r="B120" s="259" t="s">
        <v>67</v>
      </c>
      <c r="C120" s="260"/>
      <c r="D120" s="63">
        <f>D121+D122+D123+D124+D125+D126</f>
        <v>24.47</v>
      </c>
      <c r="E120" s="63">
        <f>E121+E122+E123+E124+E125+E126</f>
        <v>38.15</v>
      </c>
      <c r="F120" s="63">
        <f>F121+F122+F123+F124+F125+F126</f>
        <v>76.790000000000006</v>
      </c>
      <c r="G120" s="63">
        <f>G121+G122+G123+G124+G125+G126</f>
        <v>769.14</v>
      </c>
      <c r="H120" s="63">
        <f t="shared" ref="H120:O120" si="19">H121+H122+H123+H124+H125+H126</f>
        <v>0.69000000000000006</v>
      </c>
      <c r="I120" s="63">
        <f t="shared" si="19"/>
        <v>21.71</v>
      </c>
      <c r="J120" s="63">
        <f t="shared" si="19"/>
        <v>0.9</v>
      </c>
      <c r="K120" s="63">
        <f t="shared" si="19"/>
        <v>151.85</v>
      </c>
      <c r="L120" s="63">
        <f t="shared" si="19"/>
        <v>371.56</v>
      </c>
      <c r="M120" s="63">
        <f t="shared" si="19"/>
        <v>129.63</v>
      </c>
      <c r="N120" s="63">
        <f t="shared" si="19"/>
        <v>8.81</v>
      </c>
      <c r="O120" s="64">
        <f t="shared" si="19"/>
        <v>68.8</v>
      </c>
      <c r="P120" s="2">
        <f t="shared" si="13"/>
        <v>768.64200000000005</v>
      </c>
    </row>
    <row r="121" spans="1:16" x14ac:dyDescent="0.2">
      <c r="A121" s="49" t="s">
        <v>68</v>
      </c>
      <c r="B121" s="50" t="s">
        <v>69</v>
      </c>
      <c r="C121" s="51">
        <v>60</v>
      </c>
      <c r="D121" s="57">
        <v>0.84</v>
      </c>
      <c r="E121" s="57">
        <v>3.06</v>
      </c>
      <c r="F121" s="57">
        <v>6.83</v>
      </c>
      <c r="G121" s="57">
        <v>59.75</v>
      </c>
      <c r="H121" s="30">
        <v>0.01</v>
      </c>
      <c r="I121" s="30">
        <v>3.99</v>
      </c>
      <c r="J121" s="30"/>
      <c r="K121" s="30">
        <v>21.28</v>
      </c>
      <c r="L121" s="30">
        <v>24.38</v>
      </c>
      <c r="M121" s="30">
        <v>12.42</v>
      </c>
      <c r="N121" s="30">
        <v>0.79</v>
      </c>
      <c r="O121" s="52">
        <v>7.8</v>
      </c>
      <c r="P121" s="2">
        <f t="shared" si="13"/>
        <v>59.753999999999998</v>
      </c>
    </row>
    <row r="122" spans="1:16" x14ac:dyDescent="0.2">
      <c r="A122" s="28" t="s">
        <v>130</v>
      </c>
      <c r="B122" s="29" t="s">
        <v>192</v>
      </c>
      <c r="C122" s="16">
        <v>200</v>
      </c>
      <c r="D122" s="30">
        <f>7.49-0.99</f>
        <v>6.5</v>
      </c>
      <c r="E122" s="30">
        <f>10.16+12.36-0.84</f>
        <v>21.68</v>
      </c>
      <c r="F122" s="30">
        <f>4.87+6.96-0.27</f>
        <v>11.56</v>
      </c>
      <c r="G122" s="30">
        <v>270.97000000000003</v>
      </c>
      <c r="H122" s="30" t="s">
        <v>125</v>
      </c>
      <c r="I122" s="30" t="s">
        <v>107</v>
      </c>
      <c r="J122" s="53"/>
      <c r="K122" s="30" t="s">
        <v>126</v>
      </c>
      <c r="L122" s="30" t="s">
        <v>127</v>
      </c>
      <c r="M122" s="30" t="s">
        <v>128</v>
      </c>
      <c r="N122" s="30" t="s">
        <v>129</v>
      </c>
      <c r="O122" s="2">
        <v>16</v>
      </c>
      <c r="P122" s="2">
        <f t="shared" si="13"/>
        <v>270.97200000000004</v>
      </c>
    </row>
    <row r="123" spans="1:16" x14ac:dyDescent="0.2">
      <c r="A123" s="70" t="s">
        <v>131</v>
      </c>
      <c r="B123" s="50" t="s">
        <v>141</v>
      </c>
      <c r="C123" s="37">
        <v>90</v>
      </c>
      <c r="D123" s="57">
        <v>11.84</v>
      </c>
      <c r="E123" s="57">
        <v>10.06</v>
      </c>
      <c r="F123" s="57">
        <v>16.03</v>
      </c>
      <c r="G123" s="57">
        <v>208</v>
      </c>
      <c r="H123" s="16">
        <v>0.05</v>
      </c>
      <c r="I123" s="16">
        <v>1.22</v>
      </c>
      <c r="J123" s="54"/>
      <c r="K123" s="16">
        <v>9.8000000000000007</v>
      </c>
      <c r="L123" s="16">
        <v>16.87</v>
      </c>
      <c r="M123" s="16">
        <v>4.54</v>
      </c>
      <c r="N123" s="16">
        <v>1.39</v>
      </c>
      <c r="O123" s="2">
        <v>25</v>
      </c>
      <c r="P123" s="2">
        <f t="shared" si="13"/>
        <v>207.59399999999999</v>
      </c>
    </row>
    <row r="124" spans="1:16" x14ac:dyDescent="0.2">
      <c r="A124" s="28" t="s">
        <v>152</v>
      </c>
      <c r="B124" s="50" t="s">
        <v>153</v>
      </c>
      <c r="C124" s="67">
        <v>150</v>
      </c>
      <c r="D124" s="57">
        <v>3.14</v>
      </c>
      <c r="E124" s="30">
        <v>3.27</v>
      </c>
      <c r="F124" s="57">
        <v>22.34</v>
      </c>
      <c r="G124" s="57">
        <v>136.5</v>
      </c>
      <c r="H124" s="17">
        <v>0.44</v>
      </c>
      <c r="I124" s="12"/>
      <c r="J124" s="12">
        <v>0.9</v>
      </c>
      <c r="K124" s="34">
        <v>78</v>
      </c>
      <c r="L124" s="12">
        <v>215</v>
      </c>
      <c r="M124" s="12">
        <v>70</v>
      </c>
      <c r="N124" s="17">
        <v>4.45</v>
      </c>
      <c r="O124" s="2">
        <v>10</v>
      </c>
      <c r="P124" s="2">
        <f t="shared" si="13"/>
        <v>136.446</v>
      </c>
    </row>
    <row r="125" spans="1:16" ht="16.5" customHeight="1" x14ac:dyDescent="0.2">
      <c r="A125" s="168" t="s">
        <v>42</v>
      </c>
      <c r="B125" s="50" t="s">
        <v>201</v>
      </c>
      <c r="C125" s="37">
        <v>200</v>
      </c>
      <c r="D125" s="57">
        <v>1.1499999999999999</v>
      </c>
      <c r="E125" s="53"/>
      <c r="F125" s="57">
        <v>12.03</v>
      </c>
      <c r="G125" s="57">
        <v>55.4</v>
      </c>
      <c r="H125" s="57">
        <v>0.02</v>
      </c>
      <c r="I125" s="57"/>
      <c r="J125" s="53"/>
      <c r="K125" s="57">
        <v>20.32</v>
      </c>
      <c r="L125" s="57">
        <v>19.36</v>
      </c>
      <c r="M125" s="57">
        <v>8.1199999999999992</v>
      </c>
      <c r="N125" s="57">
        <v>0.45</v>
      </c>
      <c r="O125" s="2">
        <v>7</v>
      </c>
      <c r="P125" s="2">
        <f t="shared" si="13"/>
        <v>55.356000000000002</v>
      </c>
    </row>
    <row r="126" spans="1:16" x14ac:dyDescent="0.2">
      <c r="A126" s="35"/>
      <c r="B126" s="122" t="s">
        <v>37</v>
      </c>
      <c r="C126" s="16">
        <v>20</v>
      </c>
      <c r="D126" s="57">
        <v>1</v>
      </c>
      <c r="E126" s="30">
        <v>0.08</v>
      </c>
      <c r="F126" s="57">
        <v>8</v>
      </c>
      <c r="G126" s="57">
        <v>38.520000000000003</v>
      </c>
      <c r="H126" s="30">
        <v>0.04</v>
      </c>
      <c r="I126" s="53"/>
      <c r="J126" s="53"/>
      <c r="K126" s="57">
        <v>7.25</v>
      </c>
      <c r="L126" s="53">
        <v>32.5</v>
      </c>
      <c r="M126" s="53">
        <v>10.5</v>
      </c>
      <c r="N126" s="30">
        <v>0.9</v>
      </c>
      <c r="O126" s="2">
        <v>3</v>
      </c>
      <c r="P126" s="2">
        <f t="shared" si="13"/>
        <v>38.520000000000003</v>
      </c>
    </row>
    <row r="127" spans="1:16" x14ac:dyDescent="0.2">
      <c r="A127" s="28"/>
      <c r="B127" s="27"/>
      <c r="C127" s="72">
        <f>SUM(C121:C126)</f>
        <v>720</v>
      </c>
      <c r="D127" s="57"/>
      <c r="E127" s="30"/>
      <c r="F127" s="57"/>
      <c r="G127" s="57"/>
      <c r="H127" s="17"/>
      <c r="I127" s="12"/>
      <c r="J127" s="12"/>
      <c r="K127" s="34"/>
      <c r="L127" s="12"/>
      <c r="M127" s="12"/>
      <c r="N127" s="17"/>
      <c r="P127" s="2">
        <f t="shared" si="13"/>
        <v>0</v>
      </c>
    </row>
    <row r="128" spans="1:16" x14ac:dyDescent="0.2">
      <c r="A128" s="84" t="s">
        <v>31</v>
      </c>
      <c r="B128" s="257" t="s">
        <v>13</v>
      </c>
      <c r="C128" s="258"/>
      <c r="D128" s="63">
        <f>D129+D136</f>
        <v>49.05</v>
      </c>
      <c r="E128" s="63">
        <f t="shared" ref="E128:O128" si="20">E129+E136</f>
        <v>36.269999999999996</v>
      </c>
      <c r="F128" s="63">
        <f t="shared" si="20"/>
        <v>179.81</v>
      </c>
      <c r="G128" s="63">
        <f>G129+G136</f>
        <v>1288.0619999999999</v>
      </c>
      <c r="H128" s="63">
        <f t="shared" si="20"/>
        <v>0.70899999999999996</v>
      </c>
      <c r="I128" s="63">
        <f t="shared" si="20"/>
        <v>50.81</v>
      </c>
      <c r="J128" s="63">
        <f t="shared" si="20"/>
        <v>56.41</v>
      </c>
      <c r="K128" s="63">
        <f t="shared" si="20"/>
        <v>155.64999999999998</v>
      </c>
      <c r="L128" s="63">
        <f t="shared" si="20"/>
        <v>538.96</v>
      </c>
      <c r="M128" s="63">
        <f t="shared" si="20"/>
        <v>102.84</v>
      </c>
      <c r="N128" s="63">
        <f t="shared" si="20"/>
        <v>11.25</v>
      </c>
      <c r="O128" s="64">
        <f t="shared" si="20"/>
        <v>163.9</v>
      </c>
      <c r="P128" s="2">
        <f t="shared" si="13"/>
        <v>1287.6420000000001</v>
      </c>
    </row>
    <row r="129" spans="1:37" x14ac:dyDescent="0.2">
      <c r="A129" s="119"/>
      <c r="B129" s="257" t="s">
        <v>66</v>
      </c>
      <c r="C129" s="258"/>
      <c r="D129" s="63">
        <f>D130+D131+D132+D133+D134</f>
        <v>28.65</v>
      </c>
      <c r="E129" s="63">
        <f>E130+E131+E132+E133+E134</f>
        <v>11.989999999999998</v>
      </c>
      <c r="F129" s="63">
        <f>F130+F131+F132+F133+F134</f>
        <v>73.56</v>
      </c>
      <c r="G129" s="63">
        <f>G130+G131+G132+G133+G134</f>
        <v>537.27199999999993</v>
      </c>
      <c r="H129" s="63">
        <f t="shared" ref="H129:O129" si="21">H130+H131+H132+H133+H134</f>
        <v>0.43</v>
      </c>
      <c r="I129" s="63">
        <f t="shared" si="21"/>
        <v>29.64</v>
      </c>
      <c r="J129" s="63">
        <f t="shared" si="21"/>
        <v>31.21</v>
      </c>
      <c r="K129" s="63">
        <f t="shared" si="21"/>
        <v>66.05</v>
      </c>
      <c r="L129" s="63">
        <f t="shared" si="21"/>
        <v>341.06000000000006</v>
      </c>
      <c r="M129" s="63">
        <f t="shared" si="21"/>
        <v>38.28</v>
      </c>
      <c r="N129" s="63">
        <f t="shared" si="21"/>
        <v>6.6000000000000005</v>
      </c>
      <c r="O129" s="64">
        <f t="shared" si="21"/>
        <v>71.7</v>
      </c>
      <c r="P129" s="2">
        <f t="shared" si="13"/>
        <v>537.19200000000001</v>
      </c>
    </row>
    <row r="130" spans="1:37" ht="13.5" customHeight="1" x14ac:dyDescent="0.2">
      <c r="A130" s="49"/>
      <c r="B130" s="50" t="s">
        <v>154</v>
      </c>
      <c r="C130" s="51">
        <v>40</v>
      </c>
      <c r="D130" s="57">
        <v>5.08</v>
      </c>
      <c r="E130" s="57">
        <v>4.5999999999999996</v>
      </c>
      <c r="F130" s="57">
        <v>0.28000000000000003</v>
      </c>
      <c r="G130" s="57">
        <v>63.911999999999999</v>
      </c>
      <c r="H130" s="34">
        <v>0.05</v>
      </c>
      <c r="I130" s="34">
        <v>4.3</v>
      </c>
      <c r="J130" s="34"/>
      <c r="K130" s="34">
        <v>8.6</v>
      </c>
      <c r="L130" s="34">
        <v>26.66</v>
      </c>
      <c r="M130" s="34">
        <v>9.0299999999999994</v>
      </c>
      <c r="N130" s="34">
        <v>0.3</v>
      </c>
      <c r="O130" s="2">
        <v>23.9</v>
      </c>
      <c r="P130" s="2">
        <f t="shared" si="13"/>
        <v>63.912000000000006</v>
      </c>
    </row>
    <row r="131" spans="1:37" x14ac:dyDescent="0.2">
      <c r="A131" s="54" t="s">
        <v>39</v>
      </c>
      <c r="B131" s="120" t="s">
        <v>155</v>
      </c>
      <c r="C131" s="121">
        <v>120</v>
      </c>
      <c r="D131" s="152">
        <f>18.92+0.06</f>
        <v>18.98</v>
      </c>
      <c r="E131" s="152">
        <f>7.01+0.06</f>
        <v>7.0699999999999994</v>
      </c>
      <c r="F131" s="152">
        <f>15+16.77</f>
        <v>31.77</v>
      </c>
      <c r="G131" s="152">
        <v>276.77999999999997</v>
      </c>
      <c r="H131" s="17">
        <v>0.23</v>
      </c>
      <c r="I131" s="17">
        <v>24.76</v>
      </c>
      <c r="J131" s="12">
        <v>6.01</v>
      </c>
      <c r="K131" s="17">
        <v>18.68</v>
      </c>
      <c r="L131" s="17">
        <v>233.56</v>
      </c>
      <c r="M131" s="17">
        <v>13.8</v>
      </c>
      <c r="N131" s="17">
        <v>5.18</v>
      </c>
      <c r="O131" s="2">
        <v>30</v>
      </c>
      <c r="P131" s="2">
        <f t="shared" si="13"/>
        <v>276.77999999999997</v>
      </c>
    </row>
    <row r="132" spans="1:37" x14ac:dyDescent="0.2">
      <c r="A132" s="90"/>
      <c r="B132" s="156" t="s">
        <v>41</v>
      </c>
      <c r="C132" s="92">
        <v>100</v>
      </c>
      <c r="D132" s="93">
        <v>0.4</v>
      </c>
      <c r="E132" s="93">
        <v>0</v>
      </c>
      <c r="F132" s="93">
        <v>9.8000000000000007</v>
      </c>
      <c r="G132" s="93">
        <v>42.84</v>
      </c>
      <c r="H132" s="34">
        <v>0.1</v>
      </c>
      <c r="I132" s="12"/>
      <c r="J132" s="34">
        <v>25.2</v>
      </c>
      <c r="K132" s="34">
        <v>13.46</v>
      </c>
      <c r="L132" s="34">
        <v>54.84</v>
      </c>
      <c r="M132" s="34">
        <v>9.85</v>
      </c>
      <c r="N132" s="34">
        <v>0.03</v>
      </c>
      <c r="O132" s="2">
        <v>8</v>
      </c>
      <c r="P132" s="2">
        <f t="shared" si="13"/>
        <v>42.84</v>
      </c>
    </row>
    <row r="133" spans="1:37" x14ac:dyDescent="0.2">
      <c r="A133" s="56" t="s">
        <v>42</v>
      </c>
      <c r="B133" s="50" t="s">
        <v>201</v>
      </c>
      <c r="C133" s="37">
        <v>200</v>
      </c>
      <c r="D133" s="57">
        <v>1.1499999999999999</v>
      </c>
      <c r="E133" s="53"/>
      <c r="F133" s="57">
        <v>12.03</v>
      </c>
      <c r="G133" s="57">
        <v>55.4</v>
      </c>
      <c r="H133" s="58">
        <v>0.01</v>
      </c>
      <c r="I133" s="58">
        <v>0.57999999999999996</v>
      </c>
      <c r="J133" s="59"/>
      <c r="K133" s="58">
        <v>17.309999999999999</v>
      </c>
      <c r="L133" s="59"/>
      <c r="M133" s="59"/>
      <c r="N133" s="58">
        <v>0.65</v>
      </c>
      <c r="O133" s="2">
        <v>7</v>
      </c>
      <c r="P133" s="2">
        <f t="shared" si="13"/>
        <v>55.356000000000002</v>
      </c>
    </row>
    <row r="134" spans="1:37" x14ac:dyDescent="0.2">
      <c r="A134" s="38"/>
      <c r="B134" s="155" t="s">
        <v>11</v>
      </c>
      <c r="C134" s="40">
        <v>40</v>
      </c>
      <c r="D134" s="149">
        <v>3.04</v>
      </c>
      <c r="E134" s="150">
        <v>0.32</v>
      </c>
      <c r="F134" s="149">
        <v>19.68</v>
      </c>
      <c r="G134" s="149">
        <v>98.34</v>
      </c>
      <c r="H134" s="17">
        <v>0.04</v>
      </c>
      <c r="I134" s="12"/>
      <c r="J134" s="12"/>
      <c r="K134" s="34">
        <v>8</v>
      </c>
      <c r="L134" s="12">
        <v>26</v>
      </c>
      <c r="M134" s="12">
        <v>5.6</v>
      </c>
      <c r="N134" s="17">
        <v>0.44</v>
      </c>
      <c r="O134" s="2">
        <v>2.8</v>
      </c>
      <c r="P134" s="2">
        <f t="shared" si="13"/>
        <v>98.303999999999988</v>
      </c>
    </row>
    <row r="135" spans="1:37" x14ac:dyDescent="0.2">
      <c r="A135" s="28"/>
      <c r="B135" s="122"/>
      <c r="C135" s="72">
        <f>SUM(C130:C134)</f>
        <v>500</v>
      </c>
      <c r="D135" s="148"/>
      <c r="E135" s="148"/>
      <c r="F135" s="148"/>
      <c r="G135" s="148"/>
      <c r="H135" s="34"/>
      <c r="I135" s="12"/>
      <c r="J135" s="12"/>
      <c r="K135" s="34"/>
      <c r="L135" s="12"/>
      <c r="M135" s="12"/>
      <c r="N135" s="34"/>
      <c r="P135" s="2">
        <f t="shared" si="13"/>
        <v>0</v>
      </c>
    </row>
    <row r="136" spans="1:37" ht="18.75" customHeight="1" x14ac:dyDescent="0.2">
      <c r="A136" s="28"/>
      <c r="B136" s="259" t="s">
        <v>67</v>
      </c>
      <c r="C136" s="260"/>
      <c r="D136" s="63">
        <f>D137+D138+D139+D140+D141+D142</f>
        <v>20.399999999999999</v>
      </c>
      <c r="E136" s="63">
        <f>E137+E138+E139+E140+E141+E142</f>
        <v>24.279999999999998</v>
      </c>
      <c r="F136" s="63">
        <f>F137+F138+F139+F140+F141+F142</f>
        <v>106.25</v>
      </c>
      <c r="G136" s="63">
        <f>G137+G138+G139+G140+G141+G142</f>
        <v>750.79</v>
      </c>
      <c r="H136" s="63">
        <f t="shared" ref="H136:O136" si="22">H137+H138+H139+H140+H141+H142</f>
        <v>0.27899999999999997</v>
      </c>
      <c r="I136" s="63">
        <f t="shared" si="22"/>
        <v>21.17</v>
      </c>
      <c r="J136" s="63">
        <f t="shared" si="22"/>
        <v>25.2</v>
      </c>
      <c r="K136" s="63">
        <f t="shared" si="22"/>
        <v>89.6</v>
      </c>
      <c r="L136" s="63">
        <f t="shared" si="22"/>
        <v>197.9</v>
      </c>
      <c r="M136" s="63">
        <f t="shared" si="22"/>
        <v>64.56</v>
      </c>
      <c r="N136" s="63">
        <f t="shared" si="22"/>
        <v>4.6500000000000004</v>
      </c>
      <c r="O136" s="64">
        <f t="shared" si="22"/>
        <v>92.2</v>
      </c>
      <c r="P136" s="2">
        <f t="shared" ref="P136:P143" si="23">(D136+F136)*4.2+E136*9</f>
        <v>750.45</v>
      </c>
    </row>
    <row r="137" spans="1:37" x14ac:dyDescent="0.2">
      <c r="A137" s="28" t="s">
        <v>82</v>
      </c>
      <c r="B137" s="75" t="s">
        <v>83</v>
      </c>
      <c r="C137" s="54">
        <v>60</v>
      </c>
      <c r="D137" s="97">
        <v>1.21</v>
      </c>
      <c r="E137" s="30">
        <v>6.2</v>
      </c>
      <c r="F137" s="30">
        <v>12.33</v>
      </c>
      <c r="G137" s="30">
        <v>113</v>
      </c>
      <c r="H137" s="30">
        <v>0.02</v>
      </c>
      <c r="I137" s="30">
        <v>2.5299999999999998</v>
      </c>
      <c r="J137" s="30"/>
      <c r="K137" s="30">
        <v>27.92</v>
      </c>
      <c r="L137" s="30">
        <v>36.549999999999997</v>
      </c>
      <c r="M137" s="30">
        <v>19.350000000000001</v>
      </c>
      <c r="N137" s="30">
        <v>0.6</v>
      </c>
      <c r="O137" s="52">
        <v>10.8</v>
      </c>
      <c r="P137" s="2">
        <f t="shared" si="23"/>
        <v>112.66800000000001</v>
      </c>
    </row>
    <row r="138" spans="1:37" ht="24" x14ac:dyDescent="0.2">
      <c r="A138" s="28" t="s">
        <v>124</v>
      </c>
      <c r="B138" s="29" t="s">
        <v>159</v>
      </c>
      <c r="C138" s="16">
        <v>200</v>
      </c>
      <c r="D138" s="30">
        <f>3.96-0.86</f>
        <v>3.1</v>
      </c>
      <c r="E138" s="30">
        <f>4.86-0.84</f>
        <v>4.0200000000000005</v>
      </c>
      <c r="F138" s="30">
        <f>17.01-0.09</f>
        <v>16.920000000000002</v>
      </c>
      <c r="G138" s="30">
        <v>120.26</v>
      </c>
      <c r="H138" s="30">
        <v>0.13</v>
      </c>
      <c r="I138" s="30">
        <v>16.52</v>
      </c>
      <c r="J138" s="53"/>
      <c r="K138" s="30">
        <v>19.05</v>
      </c>
      <c r="L138" s="30">
        <v>66.5</v>
      </c>
      <c r="M138" s="30">
        <v>26.6</v>
      </c>
      <c r="N138" s="30">
        <v>0.98</v>
      </c>
      <c r="O138" s="2">
        <v>7.6</v>
      </c>
      <c r="P138" s="2">
        <f t="shared" si="23"/>
        <v>120.26400000000002</v>
      </c>
    </row>
    <row r="139" spans="1:37" x14ac:dyDescent="0.2">
      <c r="A139" s="49">
        <v>370</v>
      </c>
      <c r="B139" s="50" t="s">
        <v>138</v>
      </c>
      <c r="C139" s="51">
        <v>115</v>
      </c>
      <c r="D139" s="57">
        <v>6.32</v>
      </c>
      <c r="E139" s="57">
        <v>8.7899999999999991</v>
      </c>
      <c r="F139" s="57">
        <v>19.37</v>
      </c>
      <c r="G139" s="57">
        <v>187.01</v>
      </c>
      <c r="H139" s="34">
        <v>0.08</v>
      </c>
      <c r="I139" s="34">
        <v>0.6</v>
      </c>
      <c r="J139" s="12"/>
      <c r="K139" s="34">
        <v>17.600000000000001</v>
      </c>
      <c r="L139" s="34">
        <v>13.35</v>
      </c>
      <c r="M139" s="34">
        <v>2.94</v>
      </c>
      <c r="N139" s="34">
        <v>2.2599999999999998</v>
      </c>
      <c r="O139" s="2">
        <v>59</v>
      </c>
      <c r="P139" s="2">
        <f t="shared" si="23"/>
        <v>187.00799999999998</v>
      </c>
    </row>
    <row r="140" spans="1:37" x14ac:dyDescent="0.2">
      <c r="A140" s="158" t="s">
        <v>38</v>
      </c>
      <c r="B140" s="50" t="s">
        <v>36</v>
      </c>
      <c r="C140" s="37">
        <v>150</v>
      </c>
      <c r="D140" s="57">
        <v>8.77</v>
      </c>
      <c r="E140" s="57">
        <v>5.19</v>
      </c>
      <c r="F140" s="57">
        <v>39.630000000000003</v>
      </c>
      <c r="G140" s="57">
        <v>250</v>
      </c>
      <c r="H140" s="37"/>
      <c r="I140" s="54"/>
      <c r="J140" s="37">
        <v>25.2</v>
      </c>
      <c r="K140" s="37">
        <v>13.46</v>
      </c>
      <c r="L140" s="37">
        <v>54.84</v>
      </c>
      <c r="M140" s="37">
        <v>9.85</v>
      </c>
      <c r="N140" s="37">
        <v>0.03</v>
      </c>
      <c r="O140" s="2">
        <v>7</v>
      </c>
      <c r="P140" s="2">
        <f t="shared" si="23"/>
        <v>249.99000000000004</v>
      </c>
    </row>
    <row r="141" spans="1:37" x14ac:dyDescent="0.2">
      <c r="A141" s="33" t="s">
        <v>163</v>
      </c>
      <c r="B141" s="154" t="s">
        <v>10</v>
      </c>
      <c r="C141" s="24">
        <v>200</v>
      </c>
      <c r="D141" s="148">
        <v>0</v>
      </c>
      <c r="E141" s="148">
        <v>0</v>
      </c>
      <c r="F141" s="148">
        <v>10</v>
      </c>
      <c r="G141" s="148">
        <v>42</v>
      </c>
      <c r="H141" s="57">
        <v>8.9999999999999993E-3</v>
      </c>
      <c r="I141" s="57">
        <v>1.52</v>
      </c>
      <c r="J141" s="53"/>
      <c r="K141" s="57">
        <v>3.57</v>
      </c>
      <c r="L141" s="57">
        <v>0.66</v>
      </c>
      <c r="M141" s="57">
        <v>0.22</v>
      </c>
      <c r="N141" s="57">
        <v>0.34</v>
      </c>
      <c r="O141" s="2">
        <v>5</v>
      </c>
      <c r="P141" s="2">
        <f t="shared" si="23"/>
        <v>42</v>
      </c>
    </row>
    <row r="142" spans="1:37" ht="12" customHeight="1" x14ac:dyDescent="0.2">
      <c r="A142" s="35"/>
      <c r="B142" s="122" t="s">
        <v>37</v>
      </c>
      <c r="C142" s="16">
        <v>20</v>
      </c>
      <c r="D142" s="57">
        <v>1</v>
      </c>
      <c r="E142" s="30">
        <v>0.08</v>
      </c>
      <c r="F142" s="57">
        <v>8</v>
      </c>
      <c r="G142" s="57">
        <v>38.520000000000003</v>
      </c>
      <c r="H142" s="16">
        <v>0.04</v>
      </c>
      <c r="I142" s="54"/>
      <c r="J142" s="54"/>
      <c r="K142" s="37">
        <v>8</v>
      </c>
      <c r="L142" s="54">
        <v>26</v>
      </c>
      <c r="M142" s="54">
        <v>5.6</v>
      </c>
      <c r="N142" s="16">
        <v>0.44</v>
      </c>
      <c r="O142" s="2">
        <v>2.8</v>
      </c>
      <c r="P142" s="2">
        <f t="shared" si="23"/>
        <v>38.520000000000003</v>
      </c>
    </row>
    <row r="143" spans="1:37" x14ac:dyDescent="0.2">
      <c r="A143" s="123"/>
      <c r="B143" s="27"/>
      <c r="C143" s="74">
        <f>SUM(C137:C142)</f>
        <v>745</v>
      </c>
      <c r="D143" s="57"/>
      <c r="E143" s="30"/>
      <c r="F143" s="57"/>
      <c r="G143" s="57"/>
      <c r="H143" s="16"/>
      <c r="I143" s="54"/>
      <c r="J143" s="54"/>
      <c r="K143" s="37"/>
      <c r="L143" s="54"/>
      <c r="M143" s="54"/>
      <c r="N143" s="16"/>
      <c r="P143" s="2">
        <f t="shared" si="23"/>
        <v>0</v>
      </c>
    </row>
    <row r="144" spans="1:37" x14ac:dyDescent="0.2">
      <c r="A144" s="119" t="s">
        <v>63</v>
      </c>
      <c r="B144" s="262" t="s">
        <v>9</v>
      </c>
      <c r="C144" s="258"/>
      <c r="D144" s="63">
        <f>D145+D152</f>
        <v>45.089999999999989</v>
      </c>
      <c r="E144" s="63">
        <f t="shared" ref="E144:O144" si="24">E145+E152</f>
        <v>46.26</v>
      </c>
      <c r="F144" s="63">
        <f t="shared" si="24"/>
        <v>160.65</v>
      </c>
      <c r="G144" s="63">
        <f>G145+G152</f>
        <v>1282.06</v>
      </c>
      <c r="H144" s="63">
        <f t="shared" si="24"/>
        <v>0.60000000000000009</v>
      </c>
      <c r="I144" s="63">
        <f t="shared" si="24"/>
        <v>71.45</v>
      </c>
      <c r="J144" s="63">
        <f t="shared" si="24"/>
        <v>0.34</v>
      </c>
      <c r="K144" s="63">
        <f t="shared" si="24"/>
        <v>281.49</v>
      </c>
      <c r="L144" s="63">
        <f t="shared" si="24"/>
        <v>332.28</v>
      </c>
      <c r="M144" s="63">
        <f t="shared" si="24"/>
        <v>76.59</v>
      </c>
      <c r="N144" s="63">
        <f t="shared" si="24"/>
        <v>10.55</v>
      </c>
      <c r="O144" s="64">
        <f t="shared" si="24"/>
        <v>160.69999999999999</v>
      </c>
      <c r="P144" s="256"/>
      <c r="Q144" s="256"/>
      <c r="R144" s="256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5"/>
    </row>
    <row r="145" spans="1:37" x14ac:dyDescent="0.2">
      <c r="A145" s="84"/>
      <c r="B145" s="257" t="s">
        <v>66</v>
      </c>
      <c r="C145" s="258"/>
      <c r="D145" s="63">
        <f>D146+D147+D148+D149+D150</f>
        <v>24.859999999999996</v>
      </c>
      <c r="E145" s="63">
        <f>E146+E147+E148+E149+E150</f>
        <v>13.040000000000001</v>
      </c>
      <c r="F145" s="63">
        <f>F146+F147+F148+F149+F150</f>
        <v>74.819999999999993</v>
      </c>
      <c r="G145" s="63">
        <f>G146+G147+G148+G149+G150</f>
        <v>536.82000000000005</v>
      </c>
      <c r="H145" s="63">
        <f t="shared" ref="H145:O145" si="25">H146+H147+H148+H150</f>
        <v>0.2</v>
      </c>
      <c r="I145" s="63">
        <f t="shared" si="25"/>
        <v>17.75</v>
      </c>
      <c r="J145" s="63">
        <f t="shared" si="25"/>
        <v>0.34</v>
      </c>
      <c r="K145" s="63">
        <f t="shared" si="25"/>
        <v>158.6</v>
      </c>
      <c r="L145" s="63">
        <f t="shared" si="25"/>
        <v>188.4</v>
      </c>
      <c r="M145" s="63">
        <f t="shared" si="25"/>
        <v>24.8</v>
      </c>
      <c r="N145" s="63">
        <f t="shared" si="25"/>
        <v>5.07</v>
      </c>
      <c r="O145" s="64">
        <f t="shared" si="25"/>
        <v>77.5</v>
      </c>
      <c r="P145" s="174">
        <f>(D145+F145)*4.2+E145*9</f>
        <v>536.01600000000008</v>
      </c>
      <c r="Q145" s="174"/>
      <c r="R145" s="17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5"/>
    </row>
    <row r="146" spans="1:37" x14ac:dyDescent="0.2">
      <c r="A146" s="22">
        <v>110</v>
      </c>
      <c r="B146" s="50" t="s">
        <v>156</v>
      </c>
      <c r="C146" s="37">
        <v>100</v>
      </c>
      <c r="D146" s="57">
        <v>17.829999999999998</v>
      </c>
      <c r="E146" s="57">
        <v>7.99</v>
      </c>
      <c r="F146" s="57">
        <v>4.25</v>
      </c>
      <c r="G146" s="57">
        <v>165</v>
      </c>
      <c r="H146" s="37">
        <v>0.11</v>
      </c>
      <c r="I146" s="126">
        <v>1.75</v>
      </c>
      <c r="J146" s="37">
        <v>0.34</v>
      </c>
      <c r="K146" s="37">
        <v>124.93</v>
      </c>
      <c r="L146" s="37">
        <v>188.4</v>
      </c>
      <c r="M146" s="37">
        <v>24.8</v>
      </c>
      <c r="N146" s="37">
        <v>1.03</v>
      </c>
      <c r="O146" s="2">
        <v>49</v>
      </c>
      <c r="P146" s="174">
        <f t="shared" ref="P146:P159" si="26">(D146+F146)*4.2+E146*9</f>
        <v>164.64599999999999</v>
      </c>
      <c r="Q146" s="108"/>
      <c r="R146" s="102"/>
      <c r="S146" s="102"/>
      <c r="T146" s="102"/>
      <c r="U146" s="102"/>
      <c r="V146" s="102"/>
      <c r="W146" s="112"/>
      <c r="X146" s="112"/>
      <c r="Y146" s="112"/>
      <c r="Z146" s="111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</row>
    <row r="147" spans="1:37" x14ac:dyDescent="0.2">
      <c r="A147" s="159" t="s">
        <v>170</v>
      </c>
      <c r="B147" s="29" t="s">
        <v>150</v>
      </c>
      <c r="C147" s="37">
        <v>150</v>
      </c>
      <c r="D147" s="57">
        <v>3.81</v>
      </c>
      <c r="E147" s="57">
        <v>2.72</v>
      </c>
      <c r="F147" s="57">
        <v>40</v>
      </c>
      <c r="G147" s="57">
        <v>208.48</v>
      </c>
      <c r="H147" s="12"/>
      <c r="I147" s="12"/>
      <c r="J147" s="12"/>
      <c r="K147" s="37">
        <v>0.47</v>
      </c>
      <c r="L147" s="10"/>
      <c r="M147" s="10"/>
      <c r="N147" s="37">
        <v>0.04</v>
      </c>
      <c r="O147" s="2">
        <v>2.5</v>
      </c>
      <c r="P147" s="174">
        <f t="shared" si="26"/>
        <v>208.482</v>
      </c>
      <c r="Q147" s="127"/>
      <c r="R147" s="102"/>
      <c r="S147" s="102"/>
      <c r="T147" s="102"/>
      <c r="U147" s="102"/>
      <c r="V147" s="102"/>
      <c r="W147" s="112"/>
      <c r="X147" s="111"/>
      <c r="Y147" s="111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</row>
    <row r="148" spans="1:37" x14ac:dyDescent="0.2">
      <c r="A148" s="35" t="s">
        <v>172</v>
      </c>
      <c r="B148" s="50" t="s">
        <v>157</v>
      </c>
      <c r="C148" s="16">
        <v>20</v>
      </c>
      <c r="D148" s="57">
        <v>0.18</v>
      </c>
      <c r="E148" s="30">
        <v>2.0099999999999998</v>
      </c>
      <c r="F148" s="57">
        <v>0.89</v>
      </c>
      <c r="G148" s="57">
        <v>23</v>
      </c>
      <c r="H148" s="17">
        <v>0.04</v>
      </c>
      <c r="I148" s="12"/>
      <c r="J148" s="12"/>
      <c r="K148" s="37">
        <v>7.6</v>
      </c>
      <c r="L148" s="10"/>
      <c r="M148" s="10"/>
      <c r="N148" s="16">
        <v>0.48</v>
      </c>
      <c r="O148" s="2">
        <v>4</v>
      </c>
      <c r="P148" s="174">
        <f t="shared" si="26"/>
        <v>22.583999999999996</v>
      </c>
      <c r="Q148" s="108"/>
      <c r="R148" s="102"/>
      <c r="S148" s="102"/>
      <c r="T148" s="66"/>
      <c r="U148" s="102"/>
      <c r="V148" s="102"/>
      <c r="W148" s="112"/>
      <c r="X148" s="112"/>
      <c r="Y148" s="112"/>
      <c r="Z148" s="111"/>
      <c r="AA148" s="111"/>
      <c r="AB148" s="111"/>
      <c r="AC148" s="111"/>
      <c r="AD148" s="111"/>
      <c r="AE148" s="111"/>
      <c r="AF148" s="111"/>
      <c r="AG148" s="112"/>
      <c r="AH148" s="111"/>
      <c r="AI148" s="111"/>
      <c r="AJ148" s="112"/>
    </row>
    <row r="149" spans="1:37" x14ac:dyDescent="0.2">
      <c r="A149" s="33" t="s">
        <v>163</v>
      </c>
      <c r="B149" s="50" t="s">
        <v>10</v>
      </c>
      <c r="C149" s="36">
        <v>200</v>
      </c>
      <c r="D149" s="57">
        <v>0</v>
      </c>
      <c r="E149" s="30">
        <v>0</v>
      </c>
      <c r="F149" s="57">
        <v>10</v>
      </c>
      <c r="G149" s="57">
        <v>42</v>
      </c>
      <c r="H149" s="17"/>
      <c r="I149" s="12"/>
      <c r="J149" s="12"/>
      <c r="K149" s="37"/>
      <c r="L149" s="10"/>
      <c r="M149" s="10"/>
      <c r="N149" s="16"/>
      <c r="P149" s="174">
        <f t="shared" si="26"/>
        <v>42</v>
      </c>
      <c r="Q149" s="108"/>
      <c r="R149" s="102"/>
      <c r="S149" s="102"/>
      <c r="T149" s="66"/>
      <c r="U149" s="102"/>
      <c r="V149" s="102"/>
      <c r="W149" s="112"/>
      <c r="X149" s="112"/>
      <c r="Y149" s="112"/>
      <c r="Z149" s="111"/>
      <c r="AA149" s="111"/>
      <c r="AB149" s="111"/>
      <c r="AC149" s="111"/>
      <c r="AD149" s="111"/>
      <c r="AE149" s="111"/>
      <c r="AF149" s="111"/>
      <c r="AG149" s="112"/>
      <c r="AH149" s="111"/>
      <c r="AI149" s="111"/>
      <c r="AJ149" s="112"/>
    </row>
    <row r="150" spans="1:37" x14ac:dyDescent="0.2">
      <c r="A150" s="38"/>
      <c r="B150" s="155" t="s">
        <v>11</v>
      </c>
      <c r="C150" s="40">
        <v>40</v>
      </c>
      <c r="D150" s="149">
        <v>3.04</v>
      </c>
      <c r="E150" s="150">
        <v>0.32</v>
      </c>
      <c r="F150" s="149">
        <v>19.68</v>
      </c>
      <c r="G150" s="149">
        <v>98.34</v>
      </c>
      <c r="H150" s="42">
        <v>0.05</v>
      </c>
      <c r="I150" s="43">
        <v>16</v>
      </c>
      <c r="J150" s="44"/>
      <c r="K150" s="128">
        <v>25.6</v>
      </c>
      <c r="L150" s="129"/>
      <c r="M150" s="129"/>
      <c r="N150" s="128">
        <v>3.52</v>
      </c>
      <c r="O150" s="2">
        <v>22</v>
      </c>
      <c r="P150" s="174">
        <f t="shared" si="26"/>
        <v>98.303999999999988</v>
      </c>
      <c r="Q150" s="108"/>
      <c r="R150" s="95"/>
      <c r="S150" s="102"/>
      <c r="T150" s="95"/>
      <c r="U150" s="102"/>
      <c r="V150" s="102"/>
      <c r="W150" s="113"/>
      <c r="X150" s="111"/>
      <c r="Y150" s="111"/>
      <c r="Z150" s="111"/>
      <c r="AA150" s="111"/>
      <c r="AB150" s="111"/>
      <c r="AC150" s="111"/>
      <c r="AD150" s="111"/>
      <c r="AE150" s="111"/>
      <c r="AF150" s="111"/>
      <c r="AG150" s="112"/>
      <c r="AH150" s="111"/>
      <c r="AI150" s="111"/>
      <c r="AJ150" s="113"/>
    </row>
    <row r="151" spans="1:37" x14ac:dyDescent="0.2">
      <c r="A151" s="28"/>
      <c r="B151" s="27"/>
      <c r="C151" s="140">
        <f>SUM(C146:C150)</f>
        <v>510</v>
      </c>
      <c r="D151" s="57"/>
      <c r="E151" s="30"/>
      <c r="F151" s="57"/>
      <c r="G151" s="57"/>
      <c r="H151" s="17"/>
      <c r="I151" s="12"/>
      <c r="J151" s="12"/>
      <c r="K151" s="34"/>
      <c r="L151" s="12"/>
      <c r="M151" s="12"/>
      <c r="N151" s="17"/>
      <c r="P151" s="174">
        <f t="shared" si="26"/>
        <v>0</v>
      </c>
      <c r="Q151" s="130"/>
      <c r="R151" s="131"/>
      <c r="S151" s="132"/>
      <c r="T151" s="133"/>
      <c r="U151" s="132"/>
      <c r="V151" s="132"/>
      <c r="W151" s="134"/>
      <c r="X151" s="135"/>
      <c r="Y151" s="135"/>
      <c r="Z151" s="136"/>
      <c r="AA151" s="136"/>
      <c r="AB151" s="136"/>
      <c r="AC151" s="136"/>
      <c r="AD151" s="136"/>
      <c r="AE151" s="136"/>
      <c r="AF151" s="136"/>
      <c r="AG151" s="135"/>
      <c r="AH151" s="136"/>
      <c r="AI151" s="136"/>
      <c r="AJ151" s="135"/>
    </row>
    <row r="152" spans="1:37" x14ac:dyDescent="0.2">
      <c r="A152" s="28"/>
      <c r="B152" s="259" t="s">
        <v>67</v>
      </c>
      <c r="C152" s="260"/>
      <c r="D152" s="63">
        <f>D153+D154+D155+D156+D157+D158</f>
        <v>20.229999999999997</v>
      </c>
      <c r="E152" s="63">
        <f t="shared" ref="E152:O152" si="27">E153+E154+E155+E156+E157+E158</f>
        <v>33.22</v>
      </c>
      <c r="F152" s="63">
        <f t="shared" si="27"/>
        <v>85.830000000000013</v>
      </c>
      <c r="G152" s="63">
        <f>G153+G154+G155+G156+G157+G158</f>
        <v>745.24</v>
      </c>
      <c r="H152" s="63">
        <f t="shared" si="27"/>
        <v>0.4</v>
      </c>
      <c r="I152" s="63">
        <f t="shared" si="27"/>
        <v>53.7</v>
      </c>
      <c r="J152" s="63">
        <f t="shared" si="27"/>
        <v>0</v>
      </c>
      <c r="K152" s="63">
        <f t="shared" si="27"/>
        <v>122.88999999999999</v>
      </c>
      <c r="L152" s="63">
        <f t="shared" si="27"/>
        <v>143.88</v>
      </c>
      <c r="M152" s="63">
        <f t="shared" si="27"/>
        <v>51.79</v>
      </c>
      <c r="N152" s="63">
        <f t="shared" si="27"/>
        <v>5.4800000000000013</v>
      </c>
      <c r="O152" s="64">
        <f t="shared" si="27"/>
        <v>83.2</v>
      </c>
      <c r="P152" s="174">
        <f t="shared" si="26"/>
        <v>744.43200000000002</v>
      </c>
      <c r="Q152" s="130"/>
      <c r="R152" s="131"/>
      <c r="S152" s="132"/>
      <c r="T152" s="133"/>
      <c r="U152" s="132"/>
      <c r="V152" s="132"/>
      <c r="W152" s="134"/>
      <c r="X152" s="135"/>
      <c r="Y152" s="135"/>
      <c r="Z152" s="136"/>
      <c r="AA152" s="136"/>
      <c r="AB152" s="136"/>
      <c r="AC152" s="136"/>
      <c r="AD152" s="136"/>
      <c r="AE152" s="136"/>
      <c r="AF152" s="136"/>
      <c r="AG152" s="135"/>
      <c r="AH152" s="136"/>
      <c r="AI152" s="136"/>
      <c r="AJ152" s="135"/>
    </row>
    <row r="153" spans="1:37" x14ac:dyDescent="0.2">
      <c r="A153" s="167" t="s">
        <v>174</v>
      </c>
      <c r="B153" s="75" t="s">
        <v>142</v>
      </c>
      <c r="C153" s="54">
        <v>60</v>
      </c>
      <c r="D153" s="76">
        <v>0.74</v>
      </c>
      <c r="E153" s="76">
        <v>0.06</v>
      </c>
      <c r="F153" s="76">
        <v>6.92</v>
      </c>
      <c r="G153" s="76">
        <v>33</v>
      </c>
      <c r="H153" s="34">
        <v>0.04</v>
      </c>
      <c r="I153" s="34">
        <v>15</v>
      </c>
      <c r="J153" s="53"/>
      <c r="K153" s="34">
        <v>8.4</v>
      </c>
      <c r="L153" s="34"/>
      <c r="M153" s="34"/>
      <c r="N153" s="34">
        <v>0.54</v>
      </c>
      <c r="O153" s="2">
        <v>10.9</v>
      </c>
      <c r="P153" s="174">
        <f t="shared" si="26"/>
        <v>32.712000000000003</v>
      </c>
      <c r="Q153" s="130"/>
      <c r="R153" s="131"/>
      <c r="S153" s="132"/>
      <c r="T153" s="133"/>
      <c r="U153" s="132"/>
      <c r="V153" s="132"/>
      <c r="W153" s="134"/>
      <c r="X153" s="135"/>
      <c r="Y153" s="135"/>
      <c r="Z153" s="136"/>
      <c r="AA153" s="136"/>
      <c r="AB153" s="136"/>
      <c r="AC153" s="136"/>
      <c r="AD153" s="136"/>
      <c r="AE153" s="136"/>
      <c r="AF153" s="136"/>
      <c r="AG153" s="135"/>
      <c r="AH153" s="136"/>
      <c r="AI153" s="136"/>
      <c r="AJ153" s="135"/>
    </row>
    <row r="154" spans="1:37" x14ac:dyDescent="0.2">
      <c r="A154" s="160" t="s">
        <v>101</v>
      </c>
      <c r="B154" s="29" t="s">
        <v>193</v>
      </c>
      <c r="C154" s="16">
        <v>200</v>
      </c>
      <c r="D154" s="30">
        <f>5.81-0.9</f>
        <v>4.9099999999999993</v>
      </c>
      <c r="E154" s="30">
        <f>11.82-0.81</f>
        <v>11.01</v>
      </c>
      <c r="F154" s="30">
        <f>15.48-0.05</f>
        <v>15.43</v>
      </c>
      <c r="G154" s="30">
        <f>196-11.17</f>
        <v>184.83</v>
      </c>
      <c r="H154" s="30" t="s">
        <v>45</v>
      </c>
      <c r="I154" s="30" t="s">
        <v>102</v>
      </c>
      <c r="J154" s="53"/>
      <c r="K154" s="30" t="s">
        <v>103</v>
      </c>
      <c r="L154" s="30" t="s">
        <v>104</v>
      </c>
      <c r="M154" s="30" t="s">
        <v>105</v>
      </c>
      <c r="N154" s="30" t="s">
        <v>106</v>
      </c>
      <c r="O154" s="2">
        <v>9.6</v>
      </c>
      <c r="P154" s="174">
        <f t="shared" si="26"/>
        <v>184.518</v>
      </c>
      <c r="Q154" s="130"/>
      <c r="R154" s="131"/>
      <c r="S154" s="132"/>
      <c r="T154" s="133"/>
      <c r="U154" s="132"/>
      <c r="V154" s="132"/>
      <c r="W154" s="134"/>
      <c r="X154" s="135"/>
      <c r="Y154" s="135"/>
      <c r="Z154" s="136"/>
      <c r="AA154" s="136"/>
      <c r="AB154" s="136"/>
      <c r="AC154" s="136"/>
      <c r="AD154" s="136"/>
      <c r="AE154" s="136"/>
      <c r="AF154" s="136"/>
      <c r="AG154" s="135"/>
      <c r="AH154" s="136"/>
      <c r="AI154" s="136"/>
      <c r="AJ154" s="135"/>
    </row>
    <row r="155" spans="1:37" x14ac:dyDescent="0.2">
      <c r="A155" s="28">
        <v>298</v>
      </c>
      <c r="B155" s="29" t="s">
        <v>144</v>
      </c>
      <c r="C155" s="16">
        <v>105</v>
      </c>
      <c r="D155" s="30">
        <v>6.14</v>
      </c>
      <c r="E155" s="30">
        <v>11.91</v>
      </c>
      <c r="F155" s="30">
        <v>10.92</v>
      </c>
      <c r="G155" s="30">
        <v>178.84</v>
      </c>
      <c r="H155" s="30" t="s">
        <v>84</v>
      </c>
      <c r="I155" s="30" t="s">
        <v>112</v>
      </c>
      <c r="J155" s="53"/>
      <c r="K155" s="30" t="s">
        <v>113</v>
      </c>
      <c r="L155" s="30" t="s">
        <v>114</v>
      </c>
      <c r="M155" s="30" t="s">
        <v>115</v>
      </c>
      <c r="N155" s="30" t="s">
        <v>116</v>
      </c>
      <c r="O155" s="2">
        <v>35.700000000000003</v>
      </c>
      <c r="P155" s="174">
        <f t="shared" si="26"/>
        <v>178.84199999999998</v>
      </c>
      <c r="Q155" s="130"/>
      <c r="R155" s="131"/>
      <c r="S155" s="132"/>
      <c r="T155" s="133"/>
      <c r="U155" s="132"/>
      <c r="V155" s="132"/>
      <c r="W155" s="134"/>
      <c r="X155" s="135"/>
      <c r="Y155" s="135"/>
      <c r="Z155" s="136"/>
      <c r="AA155" s="136"/>
      <c r="AB155" s="136"/>
      <c r="AC155" s="136"/>
      <c r="AD155" s="136"/>
      <c r="AE155" s="136"/>
      <c r="AF155" s="136"/>
      <c r="AG155" s="135"/>
      <c r="AH155" s="136"/>
      <c r="AI155" s="136"/>
      <c r="AJ155" s="135"/>
    </row>
    <row r="156" spans="1:37" ht="12" customHeight="1" x14ac:dyDescent="0.2">
      <c r="A156" s="70" t="s">
        <v>132</v>
      </c>
      <c r="B156" s="50" t="s">
        <v>133</v>
      </c>
      <c r="C156" s="37">
        <v>150</v>
      </c>
      <c r="D156" s="57">
        <v>5.77</v>
      </c>
      <c r="E156" s="57">
        <v>10.08</v>
      </c>
      <c r="F156" s="57">
        <v>30.69</v>
      </c>
      <c r="G156" s="57">
        <v>244</v>
      </c>
      <c r="H156" s="37">
        <v>0.08</v>
      </c>
      <c r="I156" s="37">
        <v>17.8</v>
      </c>
      <c r="J156" s="54"/>
      <c r="K156" s="37">
        <v>53.08</v>
      </c>
      <c r="L156" s="37">
        <v>64.28</v>
      </c>
      <c r="M156" s="37">
        <v>23.23</v>
      </c>
      <c r="N156" s="37">
        <v>0.86</v>
      </c>
      <c r="O156" s="2">
        <v>17</v>
      </c>
      <c r="P156" s="174">
        <f t="shared" si="26"/>
        <v>243.852</v>
      </c>
      <c r="Q156" s="130"/>
      <c r="R156" s="131"/>
      <c r="S156" s="132"/>
      <c r="T156" s="133"/>
      <c r="U156" s="132"/>
      <c r="V156" s="132"/>
      <c r="W156" s="134"/>
      <c r="X156" s="135"/>
      <c r="Y156" s="135"/>
      <c r="Z156" s="136"/>
      <c r="AA156" s="136"/>
      <c r="AB156" s="136"/>
      <c r="AC156" s="136"/>
      <c r="AD156" s="136"/>
      <c r="AE156" s="136"/>
      <c r="AF156" s="136"/>
      <c r="AG156" s="135"/>
      <c r="AH156" s="136"/>
      <c r="AI156" s="136"/>
      <c r="AJ156" s="135"/>
    </row>
    <row r="157" spans="1:37" x14ac:dyDescent="0.2">
      <c r="A157" s="81" t="s">
        <v>42</v>
      </c>
      <c r="B157" s="50" t="s">
        <v>201</v>
      </c>
      <c r="C157" s="37">
        <v>200</v>
      </c>
      <c r="D157" s="57">
        <v>1.1499999999999999</v>
      </c>
      <c r="E157" s="82"/>
      <c r="F157" s="57">
        <v>12.03</v>
      </c>
      <c r="G157" s="57">
        <v>55.4</v>
      </c>
      <c r="H157" s="30" t="s">
        <v>91</v>
      </c>
      <c r="I157" s="57" t="s">
        <v>92</v>
      </c>
      <c r="J157" s="53"/>
      <c r="K157" s="57" t="s">
        <v>93</v>
      </c>
      <c r="L157" s="53"/>
      <c r="M157" s="53"/>
      <c r="N157" s="30" t="s">
        <v>94</v>
      </c>
      <c r="O157" s="2">
        <v>7</v>
      </c>
      <c r="P157" s="174">
        <f t="shared" si="26"/>
        <v>55.356000000000002</v>
      </c>
      <c r="Q157" s="130"/>
      <c r="R157" s="131"/>
      <c r="S157" s="132"/>
      <c r="T157" s="133"/>
      <c r="U157" s="132"/>
      <c r="V157" s="132"/>
      <c r="W157" s="134"/>
      <c r="X157" s="135"/>
      <c r="Y157" s="135"/>
      <c r="Z157" s="136"/>
      <c r="AA157" s="136"/>
      <c r="AB157" s="136"/>
      <c r="AC157" s="136"/>
      <c r="AD157" s="136"/>
      <c r="AE157" s="136"/>
      <c r="AF157" s="136"/>
      <c r="AG157" s="135"/>
      <c r="AH157" s="136"/>
      <c r="AI157" s="136"/>
      <c r="AJ157" s="135"/>
    </row>
    <row r="158" spans="1:37" x14ac:dyDescent="0.2">
      <c r="A158" s="35"/>
      <c r="B158" s="122" t="s">
        <v>11</v>
      </c>
      <c r="C158" s="16">
        <v>20</v>
      </c>
      <c r="D158" s="57">
        <v>1.52</v>
      </c>
      <c r="E158" s="30">
        <v>0.16</v>
      </c>
      <c r="F158" s="57">
        <v>9.84</v>
      </c>
      <c r="G158" s="57">
        <v>49.17</v>
      </c>
      <c r="H158" s="30">
        <v>0.04</v>
      </c>
      <c r="I158" s="53"/>
      <c r="J158" s="53"/>
      <c r="K158" s="57">
        <v>7.25</v>
      </c>
      <c r="L158" s="53">
        <v>32.5</v>
      </c>
      <c r="M158" s="53">
        <v>10.5</v>
      </c>
      <c r="N158" s="30">
        <v>0.9</v>
      </c>
      <c r="O158" s="2">
        <v>3</v>
      </c>
      <c r="P158" s="174">
        <f t="shared" si="26"/>
        <v>49.151999999999994</v>
      </c>
      <c r="Q158" s="130"/>
      <c r="R158" s="131"/>
      <c r="S158" s="132"/>
      <c r="T158" s="133"/>
      <c r="U158" s="132"/>
      <c r="V158" s="132"/>
      <c r="W158" s="134"/>
      <c r="X158" s="135"/>
      <c r="Y158" s="135"/>
      <c r="Z158" s="136"/>
      <c r="AA158" s="136"/>
      <c r="AB158" s="136"/>
      <c r="AC158" s="136"/>
      <c r="AD158" s="136"/>
      <c r="AE158" s="136"/>
      <c r="AF158" s="136"/>
      <c r="AG158" s="135"/>
      <c r="AH158" s="136"/>
      <c r="AI158" s="136"/>
      <c r="AJ158" s="135"/>
    </row>
    <row r="159" spans="1:37" x14ac:dyDescent="0.2">
      <c r="A159" s="28"/>
      <c r="B159" s="137"/>
      <c r="C159" s="138">
        <f>SUM(C153:C158)</f>
        <v>735</v>
      </c>
      <c r="D159" s="153"/>
      <c r="E159" s="153"/>
      <c r="F159" s="153"/>
      <c r="G159" s="153"/>
      <c r="H159" s="137"/>
      <c r="I159" s="137"/>
      <c r="J159" s="137"/>
      <c r="K159" s="137"/>
      <c r="L159" s="137"/>
      <c r="M159" s="137"/>
      <c r="N159" s="137"/>
      <c r="P159" s="174">
        <f t="shared" si="26"/>
        <v>0</v>
      </c>
      <c r="Q159" s="130"/>
      <c r="R159" s="131"/>
      <c r="S159" s="132"/>
      <c r="T159" s="133"/>
      <c r="U159" s="132"/>
      <c r="V159" s="132"/>
      <c r="W159" s="134"/>
      <c r="X159" s="135"/>
      <c r="Y159" s="135"/>
      <c r="Z159" s="136"/>
      <c r="AA159" s="136"/>
      <c r="AB159" s="136"/>
      <c r="AC159" s="136"/>
      <c r="AD159" s="136"/>
      <c r="AE159" s="136"/>
      <c r="AF159" s="136"/>
      <c r="AG159" s="135"/>
      <c r="AH159" s="136"/>
      <c r="AI159" s="136"/>
      <c r="AJ159" s="135"/>
    </row>
  </sheetData>
  <mergeCells count="36">
    <mergeCell ref="K3:N3"/>
    <mergeCell ref="B6:C6"/>
    <mergeCell ref="B39:C39"/>
    <mergeCell ref="C1:J2"/>
    <mergeCell ref="D3:F3"/>
    <mergeCell ref="G3:G4"/>
    <mergeCell ref="H3:I3"/>
    <mergeCell ref="B7:C7"/>
    <mergeCell ref="B17:C17"/>
    <mergeCell ref="B24:C24"/>
    <mergeCell ref="B25:C25"/>
    <mergeCell ref="B31:C31"/>
    <mergeCell ref="A98:C98"/>
    <mergeCell ref="B40:C40"/>
    <mergeCell ref="B46:C46"/>
    <mergeCell ref="B55:C55"/>
    <mergeCell ref="B56:C56"/>
    <mergeCell ref="B62:C62"/>
    <mergeCell ref="B69:C69"/>
    <mergeCell ref="B70:C70"/>
    <mergeCell ref="B76:C76"/>
    <mergeCell ref="B84:C84"/>
    <mergeCell ref="B85:C85"/>
    <mergeCell ref="B91:C91"/>
    <mergeCell ref="P144:R144"/>
    <mergeCell ref="B145:C145"/>
    <mergeCell ref="B152:C152"/>
    <mergeCell ref="B99:C99"/>
    <mergeCell ref="B105:C105"/>
    <mergeCell ref="B113:C113"/>
    <mergeCell ref="B114:C114"/>
    <mergeCell ref="B120:C120"/>
    <mergeCell ref="B128:C128"/>
    <mergeCell ref="B129:C129"/>
    <mergeCell ref="B136:C136"/>
    <mergeCell ref="B144:C144"/>
  </mergeCells>
  <pageMargins left="0.75" right="0.75" top="1" bottom="1" header="0.5" footer="0.5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AK161"/>
  <sheetViews>
    <sheetView zoomScale="136" zoomScaleNormal="136" workbookViewId="0">
      <selection activeCell="B2" sqref="B2"/>
    </sheetView>
  </sheetViews>
  <sheetFormatPr defaultRowHeight="12.75" x14ac:dyDescent="0.2"/>
  <cols>
    <col min="1" max="1" width="11" style="1" customWidth="1"/>
    <col min="2" max="2" width="32.85546875" style="2" customWidth="1"/>
    <col min="3" max="3" width="7.85546875" style="2" customWidth="1"/>
    <col min="4" max="4" width="7.28515625" style="2" customWidth="1"/>
    <col min="5" max="5" width="7.7109375" style="2" customWidth="1"/>
    <col min="6" max="6" width="7.42578125" style="2" customWidth="1"/>
    <col min="7" max="7" width="8.5703125" style="2" customWidth="1"/>
    <col min="8" max="8" width="5.5703125" style="2" hidden="1" customWidth="1"/>
    <col min="9" max="9" width="6.5703125" style="2" hidden="1" customWidth="1"/>
    <col min="10" max="10" width="7.42578125" style="2" hidden="1" customWidth="1"/>
    <col min="11" max="11" width="7" style="2" hidden="1" customWidth="1"/>
    <col min="12" max="12" width="6.7109375" style="2" hidden="1" customWidth="1"/>
    <col min="13" max="13" width="6.28515625" style="2" hidden="1" customWidth="1"/>
    <col min="14" max="14" width="5.85546875" style="2" hidden="1" customWidth="1"/>
    <col min="15" max="16" width="9.140625" style="2" hidden="1" customWidth="1"/>
    <col min="17" max="17" width="14.28515625" style="2" hidden="1" customWidth="1"/>
    <col min="18" max="18" width="0" style="2" hidden="1" customWidth="1"/>
    <col min="19" max="16384" width="9.140625" style="2"/>
  </cols>
  <sheetData>
    <row r="1" spans="1:17" x14ac:dyDescent="0.2">
      <c r="B1" s="2" t="s">
        <v>196</v>
      </c>
      <c r="C1" s="266" t="s">
        <v>176</v>
      </c>
      <c r="D1" s="266"/>
      <c r="E1" s="266"/>
      <c r="F1" s="266"/>
      <c r="G1" s="266"/>
      <c r="H1" s="266"/>
      <c r="I1" s="266"/>
      <c r="J1" s="266"/>
    </row>
    <row r="2" spans="1:17" x14ac:dyDescent="0.2">
      <c r="B2" s="2" t="s">
        <v>194</v>
      </c>
      <c r="C2" s="267"/>
      <c r="D2" s="267"/>
      <c r="E2" s="267"/>
      <c r="F2" s="267"/>
      <c r="G2" s="267"/>
      <c r="H2" s="267"/>
      <c r="I2" s="267"/>
      <c r="J2" s="267"/>
    </row>
    <row r="3" spans="1:17" ht="33.75" customHeight="1" x14ac:dyDescent="0.2">
      <c r="A3" s="3" t="s">
        <v>0</v>
      </c>
      <c r="B3" s="4" t="s">
        <v>6</v>
      </c>
      <c r="C3" s="5" t="s">
        <v>14</v>
      </c>
      <c r="D3" s="268" t="s">
        <v>16</v>
      </c>
      <c r="E3" s="269"/>
      <c r="F3" s="270"/>
      <c r="G3" s="271" t="s">
        <v>23</v>
      </c>
      <c r="H3" s="273" t="s">
        <v>53</v>
      </c>
      <c r="I3" s="274"/>
      <c r="J3" s="175" t="s">
        <v>52</v>
      </c>
      <c r="K3" s="263" t="s">
        <v>75</v>
      </c>
      <c r="L3" s="264"/>
      <c r="M3" s="264"/>
      <c r="N3" s="265"/>
    </row>
    <row r="4" spans="1:17" ht="34.5" customHeight="1" x14ac:dyDescent="0.2">
      <c r="A4" s="6" t="s">
        <v>1</v>
      </c>
      <c r="B4" s="7" t="s">
        <v>7</v>
      </c>
      <c r="C4" s="8" t="s">
        <v>61</v>
      </c>
      <c r="D4" s="9" t="s">
        <v>17</v>
      </c>
      <c r="E4" s="9" t="s">
        <v>19</v>
      </c>
      <c r="F4" s="10" t="s">
        <v>21</v>
      </c>
      <c r="G4" s="272"/>
      <c r="H4" s="11" t="s">
        <v>54</v>
      </c>
      <c r="I4" s="12" t="s">
        <v>55</v>
      </c>
      <c r="J4" s="13" t="s">
        <v>56</v>
      </c>
      <c r="K4" s="11" t="s">
        <v>57</v>
      </c>
      <c r="L4" s="11" t="s">
        <v>58</v>
      </c>
      <c r="M4" s="11" t="s">
        <v>59</v>
      </c>
      <c r="N4" s="11" t="s">
        <v>60</v>
      </c>
    </row>
    <row r="5" spans="1:17" x14ac:dyDescent="0.2">
      <c r="A5" s="14" t="s">
        <v>2</v>
      </c>
      <c r="B5" s="15" t="s">
        <v>8</v>
      </c>
      <c r="C5" s="16" t="s">
        <v>15</v>
      </c>
      <c r="D5" s="15" t="s">
        <v>18</v>
      </c>
      <c r="E5" s="16" t="s">
        <v>20</v>
      </c>
      <c r="F5" s="16" t="s">
        <v>22</v>
      </c>
      <c r="G5" s="16" t="s">
        <v>24</v>
      </c>
      <c r="H5" s="17" t="s">
        <v>25</v>
      </c>
      <c r="I5" s="17" t="s">
        <v>26</v>
      </c>
      <c r="J5" s="17">
        <v>11</v>
      </c>
      <c r="K5" s="17">
        <v>18</v>
      </c>
      <c r="L5" s="17">
        <v>19</v>
      </c>
      <c r="M5" s="17">
        <v>20</v>
      </c>
      <c r="N5" s="17">
        <v>21</v>
      </c>
    </row>
    <row r="6" spans="1:17" x14ac:dyDescent="0.2">
      <c r="A6" s="18" t="s">
        <v>3</v>
      </c>
      <c r="B6" s="262" t="s">
        <v>13</v>
      </c>
      <c r="C6" s="258"/>
      <c r="D6" s="19">
        <f>D7+D17</f>
        <v>46.032899999999998</v>
      </c>
      <c r="E6" s="19">
        <f t="shared" ref="E6:O6" si="0">E7+E17</f>
        <v>55.882099999999994</v>
      </c>
      <c r="F6" s="19">
        <f t="shared" si="0"/>
        <v>208.61605</v>
      </c>
      <c r="G6" s="19">
        <f>G7+G17</f>
        <v>1576.0574999999999</v>
      </c>
      <c r="H6" s="19">
        <f t="shared" si="0"/>
        <v>0.55000000000000004</v>
      </c>
      <c r="I6" s="19">
        <f t="shared" si="0"/>
        <v>41.79</v>
      </c>
      <c r="J6" s="19">
        <f t="shared" si="0"/>
        <v>20</v>
      </c>
      <c r="K6" s="19">
        <f t="shared" si="0"/>
        <v>471.98000000000008</v>
      </c>
      <c r="L6" s="19">
        <f t="shared" si="0"/>
        <v>138.25</v>
      </c>
      <c r="M6" s="19">
        <f t="shared" si="0"/>
        <v>86.35</v>
      </c>
      <c r="N6" s="19">
        <f t="shared" si="0"/>
        <v>10.610000000000001</v>
      </c>
      <c r="O6" s="20">
        <f t="shared" si="0"/>
        <v>139.30000000000001</v>
      </c>
    </row>
    <row r="7" spans="1:17" x14ac:dyDescent="0.2">
      <c r="A7" s="21"/>
      <c r="B7" s="171" t="s">
        <v>66</v>
      </c>
      <c r="C7" s="171"/>
      <c r="D7" s="19">
        <f>D8+D9+D10+D11+D12+D13</f>
        <v>19.192499999999999</v>
      </c>
      <c r="E7" s="19">
        <f>E8+E9+E10+E11+E12+E13</f>
        <v>26.0825</v>
      </c>
      <c r="F7" s="19">
        <f>F8+F9+F10+F11+F12+F13</f>
        <v>105.54750000000001</v>
      </c>
      <c r="G7" s="19">
        <f>G8+G9+G10+G11+G12+G13</f>
        <v>759.97</v>
      </c>
      <c r="H7" s="19">
        <f t="shared" ref="H7:N7" si="1">H11+H12+H13+H14+H15</f>
        <v>0.3</v>
      </c>
      <c r="I7" s="19">
        <f t="shared" si="1"/>
        <v>18.309999999999999</v>
      </c>
      <c r="J7" s="19">
        <f t="shared" si="1"/>
        <v>20</v>
      </c>
      <c r="K7" s="19">
        <f t="shared" si="1"/>
        <v>347.50000000000006</v>
      </c>
      <c r="L7" s="19">
        <f t="shared" si="1"/>
        <v>2.87</v>
      </c>
      <c r="M7" s="19">
        <f t="shared" si="1"/>
        <v>40.04</v>
      </c>
      <c r="N7" s="19">
        <f t="shared" si="1"/>
        <v>5.7900000000000009</v>
      </c>
      <c r="O7" s="20">
        <f>O11+O12+O13+O14+O15</f>
        <v>69.7</v>
      </c>
      <c r="Q7" s="2">
        <v>470</v>
      </c>
    </row>
    <row r="8" spans="1:17" x14ac:dyDescent="0.2">
      <c r="A8" s="22" t="s">
        <v>162</v>
      </c>
      <c r="B8" s="23" t="s">
        <v>35</v>
      </c>
      <c r="C8" s="24">
        <v>10</v>
      </c>
      <c r="D8" s="25">
        <v>2.6</v>
      </c>
      <c r="E8" s="25">
        <v>2.65</v>
      </c>
      <c r="F8" s="25">
        <v>0.35</v>
      </c>
      <c r="G8" s="25">
        <v>36.24</v>
      </c>
      <c r="H8" s="19"/>
      <c r="I8" s="19"/>
      <c r="J8" s="19"/>
      <c r="K8" s="19"/>
      <c r="L8" s="19"/>
      <c r="M8" s="19"/>
      <c r="N8" s="19"/>
      <c r="O8" s="26"/>
      <c r="P8" s="2">
        <f>(D8+F8)*4.2+E8*9</f>
        <v>36.239999999999995</v>
      </c>
    </row>
    <row r="9" spans="1:17" x14ac:dyDescent="0.2">
      <c r="A9" s="22" t="s">
        <v>160</v>
      </c>
      <c r="B9" s="27" t="s">
        <v>135</v>
      </c>
      <c r="C9" s="24">
        <v>5</v>
      </c>
      <c r="D9" s="25">
        <v>0.05</v>
      </c>
      <c r="E9" s="25">
        <v>3.63</v>
      </c>
      <c r="F9" s="25">
        <v>7.0000000000000007E-2</v>
      </c>
      <c r="G9" s="25">
        <v>33.11</v>
      </c>
      <c r="H9" s="19"/>
      <c r="I9" s="19"/>
      <c r="J9" s="19"/>
      <c r="K9" s="19"/>
      <c r="L9" s="19"/>
      <c r="M9" s="19"/>
      <c r="N9" s="19"/>
      <c r="O9" s="26"/>
      <c r="P9" s="2">
        <f t="shared" ref="P9:P72" si="2">(D9+F9)*4.2+E9*9</f>
        <v>33.173999999999999</v>
      </c>
    </row>
    <row r="10" spans="1:17" ht="24" x14ac:dyDescent="0.2">
      <c r="A10" s="28" t="s">
        <v>161</v>
      </c>
      <c r="B10" s="29" t="s">
        <v>182</v>
      </c>
      <c r="C10" s="16">
        <v>255</v>
      </c>
      <c r="D10" s="30">
        <f>6.81*1.25</f>
        <v>8.5124999999999993</v>
      </c>
      <c r="E10" s="30">
        <f>10.45*1.25</f>
        <v>13.0625</v>
      </c>
      <c r="F10" s="30">
        <f>29.51*1.25</f>
        <v>36.887500000000003</v>
      </c>
      <c r="G10" s="30">
        <f>246.6*1.25</f>
        <v>308.25</v>
      </c>
      <c r="H10" s="19"/>
      <c r="I10" s="19"/>
      <c r="J10" s="19"/>
      <c r="K10" s="19"/>
      <c r="L10" s="19"/>
      <c r="M10" s="19"/>
      <c r="N10" s="19"/>
      <c r="O10" s="26"/>
      <c r="P10" s="2">
        <f t="shared" si="2"/>
        <v>308.24250000000006</v>
      </c>
    </row>
    <row r="11" spans="1:17" x14ac:dyDescent="0.2">
      <c r="A11" s="28"/>
      <c r="B11" s="27" t="s">
        <v>62</v>
      </c>
      <c r="C11" s="37">
        <v>40</v>
      </c>
      <c r="D11" s="57">
        <f>1.5*3/1.5</f>
        <v>3</v>
      </c>
      <c r="E11" s="53">
        <f>2.36*3/1.5</f>
        <v>4.72</v>
      </c>
      <c r="F11" s="57">
        <f>14.98*3/1.5</f>
        <v>29.959999999999997</v>
      </c>
      <c r="G11" s="57">
        <f>91*3/1.5</f>
        <v>182</v>
      </c>
      <c r="H11" s="31" t="s">
        <v>45</v>
      </c>
      <c r="I11" s="31" t="s">
        <v>44</v>
      </c>
      <c r="J11" s="31" t="s">
        <v>46</v>
      </c>
      <c r="K11" s="31" t="s">
        <v>47</v>
      </c>
      <c r="L11" s="31" t="s">
        <v>48</v>
      </c>
      <c r="M11" s="31" t="s">
        <v>49</v>
      </c>
      <c r="N11" s="31" t="s">
        <v>50</v>
      </c>
      <c r="O11" s="2">
        <v>15</v>
      </c>
      <c r="P11" s="2">
        <f t="shared" si="2"/>
        <v>180.91199999999998</v>
      </c>
    </row>
    <row r="12" spans="1:17" x14ac:dyDescent="0.2">
      <c r="A12" s="28" t="s">
        <v>164</v>
      </c>
      <c r="B12" s="32" t="s">
        <v>51</v>
      </c>
      <c r="C12" s="16">
        <v>200</v>
      </c>
      <c r="D12" s="30">
        <v>1.99</v>
      </c>
      <c r="E12" s="30">
        <v>1.7</v>
      </c>
      <c r="F12" s="30">
        <v>18.600000000000001</v>
      </c>
      <c r="G12" s="30">
        <v>102.03</v>
      </c>
      <c r="H12" s="17">
        <v>0.03</v>
      </c>
      <c r="I12" s="17">
        <v>0.65</v>
      </c>
      <c r="J12" s="12"/>
      <c r="K12" s="17">
        <v>64.430000000000007</v>
      </c>
      <c r="L12" s="12"/>
      <c r="M12" s="12"/>
      <c r="N12" s="17">
        <v>0.4</v>
      </c>
      <c r="O12" s="2">
        <v>7.7</v>
      </c>
      <c r="P12" s="2">
        <f t="shared" si="2"/>
        <v>101.77800000000001</v>
      </c>
    </row>
    <row r="13" spans="1:17" x14ac:dyDescent="0.2">
      <c r="A13" s="33"/>
      <c r="B13" s="23" t="s">
        <v>11</v>
      </c>
      <c r="C13" s="24">
        <v>40</v>
      </c>
      <c r="D13" s="148">
        <v>3.04</v>
      </c>
      <c r="E13" s="148">
        <v>0.32</v>
      </c>
      <c r="F13" s="148">
        <v>19.68</v>
      </c>
      <c r="G13" s="148">
        <v>98.34</v>
      </c>
      <c r="H13" s="12"/>
      <c r="I13" s="34">
        <v>0.28000000000000003</v>
      </c>
      <c r="J13" s="12"/>
      <c r="K13" s="34">
        <v>100.5</v>
      </c>
      <c r="L13" s="12"/>
      <c r="M13" s="12"/>
      <c r="N13" s="34">
        <v>0.09</v>
      </c>
      <c r="O13" s="2">
        <v>9</v>
      </c>
      <c r="P13" s="2">
        <f t="shared" si="2"/>
        <v>98.303999999999988</v>
      </c>
    </row>
    <row r="14" spans="1:17" hidden="1" x14ac:dyDescent="0.2">
      <c r="A14" s="35"/>
      <c r="B14" s="27"/>
      <c r="C14" s="36"/>
      <c r="D14" s="57"/>
      <c r="E14" s="30"/>
      <c r="F14" s="57"/>
      <c r="G14" s="57"/>
      <c r="H14" s="17">
        <v>0.04</v>
      </c>
      <c r="I14" s="12"/>
      <c r="J14" s="12"/>
      <c r="K14" s="34">
        <v>7.6</v>
      </c>
      <c r="L14" s="12"/>
      <c r="M14" s="12"/>
      <c r="N14" s="17">
        <v>0.48</v>
      </c>
      <c r="O14" s="2">
        <v>4</v>
      </c>
      <c r="P14" s="2">
        <f t="shared" si="2"/>
        <v>0</v>
      </c>
    </row>
    <row r="15" spans="1:17" hidden="1" x14ac:dyDescent="0.2">
      <c r="A15" s="38"/>
      <c r="B15" s="39"/>
      <c r="C15" s="40"/>
      <c r="D15" s="149"/>
      <c r="E15" s="150"/>
      <c r="F15" s="149"/>
      <c r="G15" s="149"/>
      <c r="H15" s="42">
        <v>0.05</v>
      </c>
      <c r="I15" s="43">
        <v>16</v>
      </c>
      <c r="J15" s="44"/>
      <c r="K15" s="43">
        <v>25.6</v>
      </c>
      <c r="L15" s="44"/>
      <c r="M15" s="44"/>
      <c r="N15" s="43">
        <v>3.52</v>
      </c>
      <c r="O15" s="2">
        <v>34</v>
      </c>
      <c r="P15" s="2">
        <f t="shared" si="2"/>
        <v>0</v>
      </c>
    </row>
    <row r="16" spans="1:17" x14ac:dyDescent="0.2">
      <c r="A16" s="38"/>
      <c r="B16" s="39"/>
      <c r="C16" s="45">
        <f>SUM(C8:C15)</f>
        <v>550</v>
      </c>
      <c r="D16" s="149"/>
      <c r="E16" s="150"/>
      <c r="F16" s="149"/>
      <c r="G16" s="149"/>
      <c r="H16" s="42"/>
      <c r="I16" s="43"/>
      <c r="J16" s="44"/>
      <c r="K16" s="43"/>
      <c r="L16" s="44"/>
      <c r="M16" s="44"/>
      <c r="N16" s="43"/>
      <c r="P16" s="2">
        <f t="shared" si="2"/>
        <v>0</v>
      </c>
    </row>
    <row r="17" spans="1:17" x14ac:dyDescent="0.2">
      <c r="A17" s="46"/>
      <c r="B17" s="176" t="s">
        <v>67</v>
      </c>
      <c r="C17" s="47"/>
      <c r="D17" s="48">
        <f>D18+D19+D20+D21+D22</f>
        <v>26.840399999999999</v>
      </c>
      <c r="E17" s="48">
        <f t="shared" ref="E17:O17" si="3">E18+E19+E20+E21+E22</f>
        <v>29.799599999999998</v>
      </c>
      <c r="F17" s="48">
        <f t="shared" si="3"/>
        <v>103.06854999999999</v>
      </c>
      <c r="G17" s="48">
        <f>G18+G19+G20+G21+G22</f>
        <v>816.08749999999986</v>
      </c>
      <c r="H17" s="48">
        <f t="shared" si="3"/>
        <v>0.25</v>
      </c>
      <c r="I17" s="48">
        <f t="shared" si="3"/>
        <v>23.48</v>
      </c>
      <c r="J17" s="48">
        <f t="shared" si="3"/>
        <v>0</v>
      </c>
      <c r="K17" s="48">
        <f t="shared" si="3"/>
        <v>124.48</v>
      </c>
      <c r="L17" s="48">
        <f t="shared" si="3"/>
        <v>135.38</v>
      </c>
      <c r="M17" s="48">
        <f t="shared" si="3"/>
        <v>46.31</v>
      </c>
      <c r="N17" s="48">
        <f t="shared" si="3"/>
        <v>4.82</v>
      </c>
      <c r="O17" s="48">
        <f t="shared" si="3"/>
        <v>69.599999999999994</v>
      </c>
      <c r="P17" s="2">
        <f t="shared" si="2"/>
        <v>813.81398999999988</v>
      </c>
      <c r="Q17" s="2">
        <v>705</v>
      </c>
    </row>
    <row r="18" spans="1:17" x14ac:dyDescent="0.2">
      <c r="A18" s="49" t="s">
        <v>173</v>
      </c>
      <c r="B18" s="50" t="s">
        <v>136</v>
      </c>
      <c r="C18" s="51">
        <v>100</v>
      </c>
      <c r="D18" s="57">
        <f>0.94*1.66</f>
        <v>1.5603999999999998</v>
      </c>
      <c r="E18" s="57">
        <f>4.06*1.66</f>
        <v>6.7395999999999994</v>
      </c>
      <c r="F18" s="57">
        <f>5.96*1.66</f>
        <v>9.8935999999999993</v>
      </c>
      <c r="G18" s="57">
        <v>108.76</v>
      </c>
      <c r="H18" s="30">
        <v>0.01</v>
      </c>
      <c r="I18" s="30">
        <v>3.99</v>
      </c>
      <c r="J18" s="30"/>
      <c r="K18" s="30">
        <v>21.28</v>
      </c>
      <c r="L18" s="30">
        <v>24.38</v>
      </c>
      <c r="M18" s="30">
        <v>12.42</v>
      </c>
      <c r="N18" s="30">
        <v>0.79</v>
      </c>
      <c r="O18" s="52">
        <v>7.8</v>
      </c>
      <c r="P18" s="2">
        <f t="shared" si="2"/>
        <v>108.76319999999998</v>
      </c>
    </row>
    <row r="19" spans="1:17" ht="11.25" customHeight="1" x14ac:dyDescent="0.2">
      <c r="A19" s="28" t="s">
        <v>165</v>
      </c>
      <c r="B19" s="29" t="s">
        <v>188</v>
      </c>
      <c r="C19" s="16">
        <v>250</v>
      </c>
      <c r="D19" s="30">
        <f>3*1.25</f>
        <v>3.75</v>
      </c>
      <c r="E19" s="30">
        <f>(4.61-0.21)*1.25</f>
        <v>5.5</v>
      </c>
      <c r="F19" s="30">
        <f>(12.54-0.05)*1.255</f>
        <v>15.674949999999997</v>
      </c>
      <c r="G19" s="30">
        <f>106.65*1.25</f>
        <v>133.3125</v>
      </c>
      <c r="H19" s="30" t="s">
        <v>70</v>
      </c>
      <c r="I19" s="30" t="s">
        <v>71</v>
      </c>
      <c r="J19" s="53"/>
      <c r="K19" s="30" t="s">
        <v>72</v>
      </c>
      <c r="L19" s="30" t="s">
        <v>73</v>
      </c>
      <c r="M19" s="30" t="s">
        <v>74</v>
      </c>
      <c r="N19" s="30">
        <v>0.99</v>
      </c>
      <c r="O19" s="2">
        <v>21</v>
      </c>
      <c r="P19" s="2">
        <f t="shared" si="2"/>
        <v>131.08479</v>
      </c>
    </row>
    <row r="20" spans="1:17" x14ac:dyDescent="0.2">
      <c r="A20" s="158" t="s">
        <v>169</v>
      </c>
      <c r="B20" s="32" t="s">
        <v>137</v>
      </c>
      <c r="C20" s="16">
        <v>200</v>
      </c>
      <c r="D20" s="30">
        <v>17.73</v>
      </c>
      <c r="E20" s="30">
        <v>17.16</v>
      </c>
      <c r="F20" s="30">
        <v>42.9</v>
      </c>
      <c r="G20" s="30">
        <v>409.09</v>
      </c>
      <c r="H20" s="16">
        <v>0.05</v>
      </c>
      <c r="I20" s="16">
        <v>1.22</v>
      </c>
      <c r="J20" s="54"/>
      <c r="K20" s="16">
        <v>9.8000000000000007</v>
      </c>
      <c r="L20" s="16">
        <v>16.87</v>
      </c>
      <c r="M20" s="16">
        <v>4.54</v>
      </c>
      <c r="N20" s="16">
        <v>1.39</v>
      </c>
      <c r="O20" s="2">
        <v>25</v>
      </c>
      <c r="P20" s="2">
        <f t="shared" si="2"/>
        <v>409.08600000000001</v>
      </c>
    </row>
    <row r="21" spans="1:17" x14ac:dyDescent="0.2">
      <c r="A21" s="159" t="s">
        <v>163</v>
      </c>
      <c r="B21" s="27" t="s">
        <v>10</v>
      </c>
      <c r="C21" s="37">
        <v>200</v>
      </c>
      <c r="D21" s="57">
        <v>0</v>
      </c>
      <c r="E21" s="53">
        <v>0</v>
      </c>
      <c r="F21" s="57">
        <v>10</v>
      </c>
      <c r="G21" s="57">
        <v>42</v>
      </c>
      <c r="H21" s="34">
        <v>0.04</v>
      </c>
      <c r="I21" s="34">
        <v>1.48</v>
      </c>
      <c r="J21" s="12"/>
      <c r="K21" s="34">
        <v>59.5</v>
      </c>
      <c r="L21" s="12"/>
      <c r="M21" s="12"/>
      <c r="N21" s="34">
        <v>1.21</v>
      </c>
      <c r="O21" s="2">
        <v>13</v>
      </c>
      <c r="P21" s="2">
        <f t="shared" si="2"/>
        <v>42</v>
      </c>
    </row>
    <row r="22" spans="1:17" x14ac:dyDescent="0.2">
      <c r="A22" s="22"/>
      <c r="B22" s="73" t="s">
        <v>11</v>
      </c>
      <c r="C22" s="16">
        <v>50</v>
      </c>
      <c r="D22" s="57">
        <f>3.04*1.25</f>
        <v>3.8</v>
      </c>
      <c r="E22" s="30">
        <f>0.32*1.25</f>
        <v>0.4</v>
      </c>
      <c r="F22" s="57">
        <f>19.68*1.25</f>
        <v>24.6</v>
      </c>
      <c r="G22" s="57">
        <f>98.34*1.25</f>
        <v>122.92500000000001</v>
      </c>
      <c r="H22" s="16">
        <v>0.04</v>
      </c>
      <c r="I22" s="54"/>
      <c r="J22" s="54"/>
      <c r="K22" s="37">
        <v>8</v>
      </c>
      <c r="L22" s="54">
        <v>26</v>
      </c>
      <c r="M22" s="54">
        <v>5.6</v>
      </c>
      <c r="N22" s="16">
        <v>0.44</v>
      </c>
      <c r="O22" s="2">
        <v>2.8</v>
      </c>
      <c r="P22" s="2">
        <f t="shared" si="2"/>
        <v>122.88000000000001</v>
      </c>
    </row>
    <row r="23" spans="1:17" x14ac:dyDescent="0.2">
      <c r="A23" s="38"/>
      <c r="B23" s="39"/>
      <c r="C23" s="45">
        <f>SUM(C18:C22)</f>
        <v>800</v>
      </c>
      <c r="D23" s="149"/>
      <c r="E23" s="150"/>
      <c r="F23" s="149"/>
      <c r="G23" s="149"/>
      <c r="H23" s="16"/>
      <c r="I23" s="54"/>
      <c r="J23" s="54"/>
      <c r="K23" s="43"/>
      <c r="L23" s="44"/>
      <c r="M23" s="44"/>
      <c r="N23" s="43"/>
      <c r="P23" s="2">
        <f t="shared" si="2"/>
        <v>0</v>
      </c>
    </row>
    <row r="24" spans="1:17" x14ac:dyDescent="0.2">
      <c r="A24" s="18" t="s">
        <v>4</v>
      </c>
      <c r="B24" s="257" t="s">
        <v>13</v>
      </c>
      <c r="C24" s="258"/>
      <c r="D24" s="19">
        <f t="shared" ref="D24:O24" si="4">D25+D31</f>
        <v>44.527439999999999</v>
      </c>
      <c r="E24" s="19">
        <f t="shared" si="4"/>
        <v>48.913459999999993</v>
      </c>
      <c r="F24" s="19">
        <f t="shared" si="4"/>
        <v>220.61378000000002</v>
      </c>
      <c r="G24" s="19">
        <f>G25+G31</f>
        <v>1556.9634999999998</v>
      </c>
      <c r="H24" s="19" t="e">
        <f t="shared" si="4"/>
        <v>#REF!</v>
      </c>
      <c r="I24" s="19" t="e">
        <f t="shared" si="4"/>
        <v>#REF!</v>
      </c>
      <c r="J24" s="19" t="e">
        <f t="shared" si="4"/>
        <v>#REF!</v>
      </c>
      <c r="K24" s="19" t="e">
        <f t="shared" si="4"/>
        <v>#REF!</v>
      </c>
      <c r="L24" s="19" t="e">
        <f t="shared" si="4"/>
        <v>#REF!</v>
      </c>
      <c r="M24" s="19" t="e">
        <f t="shared" si="4"/>
        <v>#REF!</v>
      </c>
      <c r="N24" s="19" t="e">
        <f t="shared" si="4"/>
        <v>#REF!</v>
      </c>
      <c r="O24" s="20" t="e">
        <f t="shared" si="4"/>
        <v>#REF!</v>
      </c>
      <c r="P24" s="2">
        <f t="shared" si="2"/>
        <v>1553.8142640000001</v>
      </c>
    </row>
    <row r="25" spans="1:17" x14ac:dyDescent="0.2">
      <c r="A25" s="18"/>
      <c r="B25" s="173" t="s">
        <v>66</v>
      </c>
      <c r="C25" s="172"/>
      <c r="D25" s="19">
        <f>D26+D27+D28+D29</f>
        <v>17.302499999999998</v>
      </c>
      <c r="E25" s="19">
        <f>E26+E27+E28+E29</f>
        <v>13.0875</v>
      </c>
      <c r="F25" s="19">
        <f>F26+F27+F28+F29</f>
        <v>116.45750000000001</v>
      </c>
      <c r="G25" s="19">
        <f>G26+G27+G28+G29</f>
        <v>681.25000000000011</v>
      </c>
      <c r="H25" s="19" t="e">
        <f>H26+H27+H28+H29+#REF!</f>
        <v>#REF!</v>
      </c>
      <c r="I25" s="19" t="e">
        <f>I26+I27+I28+I29+#REF!</f>
        <v>#REF!</v>
      </c>
      <c r="J25" s="19" t="e">
        <f>J26+J27+J28+J29+#REF!</f>
        <v>#REF!</v>
      </c>
      <c r="K25" s="19" t="e">
        <f>K26+K27+K28+K29+#REF!</f>
        <v>#REF!</v>
      </c>
      <c r="L25" s="19" t="e">
        <f>L26+L27+L28+L29+#REF!</f>
        <v>#REF!</v>
      </c>
      <c r="M25" s="19" t="e">
        <f>M26+M27+M28+M29+#REF!</f>
        <v>#REF!</v>
      </c>
      <c r="N25" s="19" t="e">
        <f>N26+N27+N28+N29+#REF!</f>
        <v>#REF!</v>
      </c>
      <c r="O25" s="20" t="e">
        <f>O26+O27+O28+O29+#REF!</f>
        <v>#REF!</v>
      </c>
      <c r="P25" s="2">
        <f t="shared" si="2"/>
        <v>679.57950000000017</v>
      </c>
      <c r="Q25" s="2">
        <v>470</v>
      </c>
    </row>
    <row r="26" spans="1:17" ht="24" x14ac:dyDescent="0.2">
      <c r="A26" s="126" t="s">
        <v>161</v>
      </c>
      <c r="B26" s="50" t="s">
        <v>184</v>
      </c>
      <c r="C26" s="37">
        <v>253</v>
      </c>
      <c r="D26" s="57">
        <f>7.81*1.25</f>
        <v>9.7624999999999993</v>
      </c>
      <c r="E26" s="57">
        <f>4.55*1.25</f>
        <v>5.6875</v>
      </c>
      <c r="F26" s="57">
        <f>33.47*1.25</f>
        <v>41.837499999999999</v>
      </c>
      <c r="G26" s="57">
        <v>267.91000000000003</v>
      </c>
      <c r="H26" s="34">
        <v>0.04</v>
      </c>
      <c r="I26" s="34">
        <v>15</v>
      </c>
      <c r="J26" s="34"/>
      <c r="K26" s="34">
        <v>8.4</v>
      </c>
      <c r="L26" s="34"/>
      <c r="M26" s="34"/>
      <c r="N26" s="34">
        <v>0.54</v>
      </c>
      <c r="O26" s="55">
        <v>10.9</v>
      </c>
      <c r="P26" s="2">
        <f t="shared" si="2"/>
        <v>267.90750000000003</v>
      </c>
    </row>
    <row r="27" spans="1:17" x14ac:dyDescent="0.2">
      <c r="A27" s="160"/>
      <c r="B27" s="27" t="s">
        <v>62</v>
      </c>
      <c r="C27" s="37">
        <v>60</v>
      </c>
      <c r="D27" s="57">
        <f>1.5*3</f>
        <v>4.5</v>
      </c>
      <c r="E27" s="53">
        <f>2.36*3</f>
        <v>7.08</v>
      </c>
      <c r="F27" s="57">
        <f>14.98*3</f>
        <v>44.94</v>
      </c>
      <c r="G27" s="57">
        <f>91*3</f>
        <v>273</v>
      </c>
      <c r="H27" s="34">
        <v>0.46</v>
      </c>
      <c r="I27" s="34">
        <v>1.78</v>
      </c>
      <c r="J27" s="34"/>
      <c r="K27" s="34">
        <v>10.16</v>
      </c>
      <c r="L27" s="34">
        <v>8.5399999999999991</v>
      </c>
      <c r="M27" s="34">
        <v>1.88</v>
      </c>
      <c r="N27" s="34">
        <v>1.1399999999999999</v>
      </c>
      <c r="O27" s="2">
        <v>33</v>
      </c>
      <c r="P27" s="2">
        <f t="shared" si="2"/>
        <v>271.36799999999999</v>
      </c>
    </row>
    <row r="28" spans="1:17" x14ac:dyDescent="0.2">
      <c r="A28" s="160" t="s">
        <v>163</v>
      </c>
      <c r="B28" s="27" t="s">
        <v>10</v>
      </c>
      <c r="C28" s="37">
        <v>200</v>
      </c>
      <c r="D28" s="57">
        <v>0</v>
      </c>
      <c r="E28" s="57">
        <v>0</v>
      </c>
      <c r="F28" s="57">
        <v>10</v>
      </c>
      <c r="G28" s="57">
        <v>42</v>
      </c>
      <c r="H28" s="34">
        <v>0.19</v>
      </c>
      <c r="I28" s="34">
        <v>31.07</v>
      </c>
      <c r="J28" s="34">
        <v>25.2</v>
      </c>
      <c r="K28" s="34">
        <v>49.59</v>
      </c>
      <c r="L28" s="34">
        <v>91.3</v>
      </c>
      <c r="M28" s="34">
        <v>35.39</v>
      </c>
      <c r="N28" s="34">
        <v>1.43</v>
      </c>
      <c r="O28" s="2">
        <v>23</v>
      </c>
      <c r="P28" s="2">
        <f t="shared" si="2"/>
        <v>42</v>
      </c>
    </row>
    <row r="29" spans="1:17" x14ac:dyDescent="0.2">
      <c r="A29" s="56"/>
      <c r="B29" s="50" t="s">
        <v>11</v>
      </c>
      <c r="C29" s="37">
        <v>40</v>
      </c>
      <c r="D29" s="57">
        <v>3.04</v>
      </c>
      <c r="E29" s="53">
        <v>0.32</v>
      </c>
      <c r="F29" s="57">
        <v>19.68</v>
      </c>
      <c r="G29" s="57">
        <v>98.34</v>
      </c>
      <c r="H29" s="58">
        <v>0.01</v>
      </c>
      <c r="I29" s="58">
        <v>0.57999999999999996</v>
      </c>
      <c r="J29" s="59"/>
      <c r="K29" s="58">
        <v>17.309999999999999</v>
      </c>
      <c r="L29" s="59"/>
      <c r="M29" s="59"/>
      <c r="N29" s="58">
        <v>0.65</v>
      </c>
      <c r="O29" s="2">
        <v>7</v>
      </c>
      <c r="P29" s="2">
        <f t="shared" si="2"/>
        <v>98.303999999999988</v>
      </c>
    </row>
    <row r="30" spans="1:17" x14ac:dyDescent="0.2">
      <c r="A30" s="28"/>
      <c r="B30" s="27"/>
      <c r="C30" s="60">
        <f>SUM(C26:C29)</f>
        <v>553</v>
      </c>
      <c r="D30" s="57"/>
      <c r="E30" s="30"/>
      <c r="F30" s="57"/>
      <c r="G30" s="57"/>
      <c r="H30" s="17"/>
      <c r="I30" s="12"/>
      <c r="J30" s="12"/>
      <c r="K30" s="34"/>
      <c r="L30" s="12"/>
      <c r="M30" s="12"/>
      <c r="N30" s="17"/>
      <c r="P30" s="2">
        <f t="shared" si="2"/>
        <v>0</v>
      </c>
    </row>
    <row r="31" spans="1:17" x14ac:dyDescent="0.2">
      <c r="A31" s="61"/>
      <c r="B31" s="176" t="s">
        <v>67</v>
      </c>
      <c r="C31" s="62"/>
      <c r="D31" s="63">
        <f>D32+D33+D34+D35+D36+D37</f>
        <v>27.22494</v>
      </c>
      <c r="E31" s="63">
        <f>E32+E33+E34+E35+E36+E37</f>
        <v>35.825959999999995</v>
      </c>
      <c r="F31" s="63">
        <f>F32+F33+F34+F35+F36+F37</f>
        <v>104.15628000000001</v>
      </c>
      <c r="G31" s="63">
        <f>G32+G33+G34+G35+G36+G37</f>
        <v>875.71349999999984</v>
      </c>
      <c r="H31" s="63">
        <f t="shared" ref="H31:O31" si="5">H32+H33+H34+H35+H36+H37</f>
        <v>0.66900000000000004</v>
      </c>
      <c r="I31" s="63">
        <f t="shared" si="5"/>
        <v>28.21</v>
      </c>
      <c r="J31" s="63">
        <f t="shared" si="5"/>
        <v>0.9</v>
      </c>
      <c r="K31" s="63">
        <f t="shared" si="5"/>
        <v>162.12</v>
      </c>
      <c r="L31" s="63">
        <f t="shared" si="5"/>
        <v>361.56</v>
      </c>
      <c r="M31" s="63">
        <f t="shared" si="5"/>
        <v>128.26999999999998</v>
      </c>
      <c r="N31" s="63">
        <f t="shared" si="5"/>
        <v>8.6</v>
      </c>
      <c r="O31" s="64">
        <f t="shared" si="5"/>
        <v>78</v>
      </c>
      <c r="P31" s="2">
        <f>(D31+F31)*4.2+E31*9</f>
        <v>874.23476400000004</v>
      </c>
      <c r="Q31" s="2">
        <v>705</v>
      </c>
    </row>
    <row r="32" spans="1:17" x14ac:dyDescent="0.2">
      <c r="A32" s="28" t="s">
        <v>68</v>
      </c>
      <c r="B32" s="65" t="s">
        <v>69</v>
      </c>
      <c r="C32" s="54">
        <v>100</v>
      </c>
      <c r="D32" s="97">
        <f>0.84*1.666</f>
        <v>1.3994399999999998</v>
      </c>
      <c r="E32" s="30">
        <f>3.06*1.666</f>
        <v>5.0979599999999996</v>
      </c>
      <c r="F32" s="30">
        <f>6.83*1.666</f>
        <v>11.378779999999999</v>
      </c>
      <c r="G32" s="30">
        <f>59.75*1.666</f>
        <v>99.543499999999995</v>
      </c>
      <c r="H32" s="30">
        <v>0.02</v>
      </c>
      <c r="I32" s="30">
        <v>2.5299999999999998</v>
      </c>
      <c r="J32" s="30"/>
      <c r="K32" s="30">
        <v>27.92</v>
      </c>
      <c r="L32" s="30">
        <v>36.549999999999997</v>
      </c>
      <c r="M32" s="30">
        <v>19.350000000000001</v>
      </c>
      <c r="N32" s="30">
        <v>0.6</v>
      </c>
      <c r="O32" s="52">
        <v>10.8</v>
      </c>
      <c r="P32" s="2">
        <f t="shared" si="2"/>
        <v>99.550163999999995</v>
      </c>
    </row>
    <row r="33" spans="1:17" x14ac:dyDescent="0.2">
      <c r="A33" s="161" t="s">
        <v>166</v>
      </c>
      <c r="B33" s="50" t="s">
        <v>158</v>
      </c>
      <c r="C33" s="37">
        <v>250</v>
      </c>
      <c r="D33" s="57">
        <f>(2.57-0.86)*1.25</f>
        <v>2.1375000000000002</v>
      </c>
      <c r="E33" s="57">
        <f>8.4*1.25</f>
        <v>10.5</v>
      </c>
      <c r="F33" s="57">
        <f>17.95*1.25</f>
        <v>22.4375</v>
      </c>
      <c r="G33" s="57">
        <f>158.72*1.25</f>
        <v>198.4</v>
      </c>
      <c r="H33" s="57" t="s">
        <v>76</v>
      </c>
      <c r="I33" s="57" t="s">
        <v>77</v>
      </c>
      <c r="J33" s="53"/>
      <c r="K33" s="57" t="s">
        <v>78</v>
      </c>
      <c r="L33" s="57" t="s">
        <v>79</v>
      </c>
      <c r="M33" s="57" t="s">
        <v>80</v>
      </c>
      <c r="N33" s="57" t="s">
        <v>81</v>
      </c>
      <c r="O33" s="2">
        <v>11.2</v>
      </c>
      <c r="P33" s="2">
        <f t="shared" si="2"/>
        <v>197.715</v>
      </c>
    </row>
    <row r="34" spans="1:17" x14ac:dyDescent="0.2">
      <c r="A34" s="162" t="s">
        <v>43</v>
      </c>
      <c r="B34" s="27" t="s">
        <v>65</v>
      </c>
      <c r="C34" s="37">
        <v>100</v>
      </c>
      <c r="D34" s="57">
        <v>14.25</v>
      </c>
      <c r="E34" s="57">
        <v>16.66</v>
      </c>
      <c r="F34" s="57">
        <v>5.27</v>
      </c>
      <c r="G34" s="57">
        <v>232</v>
      </c>
      <c r="H34" s="37">
        <v>0.06</v>
      </c>
      <c r="I34" s="37">
        <v>2.82</v>
      </c>
      <c r="J34" s="54"/>
      <c r="K34" s="37">
        <v>14.58</v>
      </c>
      <c r="L34" s="37">
        <v>25.31</v>
      </c>
      <c r="M34" s="37">
        <v>6.62</v>
      </c>
      <c r="N34" s="37">
        <v>1.51</v>
      </c>
      <c r="O34" s="2">
        <v>38</v>
      </c>
      <c r="P34" s="2">
        <f t="shared" si="2"/>
        <v>231.92399999999998</v>
      </c>
    </row>
    <row r="35" spans="1:17" x14ac:dyDescent="0.2">
      <c r="A35" s="28" t="s">
        <v>33</v>
      </c>
      <c r="B35" s="27" t="s">
        <v>12</v>
      </c>
      <c r="C35" s="67">
        <v>180</v>
      </c>
      <c r="D35" s="57">
        <f>5.64*1.2</f>
        <v>6.7679999999999998</v>
      </c>
      <c r="E35" s="30">
        <f>2.84*1.2</f>
        <v>3.4079999999999999</v>
      </c>
      <c r="F35" s="57">
        <f>36*1.2</f>
        <v>43.199999999999996</v>
      </c>
      <c r="G35" s="57">
        <f>201*1.2</f>
        <v>241.2</v>
      </c>
      <c r="H35" s="17">
        <v>0.44</v>
      </c>
      <c r="I35" s="12"/>
      <c r="J35" s="12">
        <v>0.9</v>
      </c>
      <c r="K35" s="34">
        <v>78</v>
      </c>
      <c r="L35" s="12">
        <v>215</v>
      </c>
      <c r="M35" s="12">
        <v>70</v>
      </c>
      <c r="N35" s="17">
        <v>4.45</v>
      </c>
      <c r="O35" s="2">
        <v>10</v>
      </c>
      <c r="P35" s="2">
        <f t="shared" si="2"/>
        <v>240.5376</v>
      </c>
    </row>
    <row r="36" spans="1:17" x14ac:dyDescent="0.2">
      <c r="A36" s="163" t="s">
        <v>42</v>
      </c>
      <c r="B36" s="68" t="s">
        <v>201</v>
      </c>
      <c r="C36" s="37">
        <v>200</v>
      </c>
      <c r="D36" s="57">
        <v>1.1499999999999999</v>
      </c>
      <c r="E36" s="53"/>
      <c r="F36" s="57">
        <v>12.03</v>
      </c>
      <c r="G36" s="57">
        <v>55.4</v>
      </c>
      <c r="H36" s="58">
        <v>8.9999999999999993E-3</v>
      </c>
      <c r="I36" s="58">
        <v>1.52</v>
      </c>
      <c r="J36" s="59"/>
      <c r="K36" s="58">
        <v>3.57</v>
      </c>
      <c r="L36" s="58">
        <v>0.66</v>
      </c>
      <c r="M36" s="58">
        <v>0.22</v>
      </c>
      <c r="N36" s="58">
        <v>0.34</v>
      </c>
      <c r="O36" s="2">
        <v>5</v>
      </c>
      <c r="P36" s="2">
        <f t="shared" si="2"/>
        <v>55.356000000000002</v>
      </c>
    </row>
    <row r="37" spans="1:17" x14ac:dyDescent="0.2">
      <c r="A37" s="28"/>
      <c r="B37" s="27" t="s">
        <v>11</v>
      </c>
      <c r="C37" s="16">
        <v>20</v>
      </c>
      <c r="D37" s="57">
        <v>1.52</v>
      </c>
      <c r="E37" s="30">
        <v>0.16</v>
      </c>
      <c r="F37" s="57">
        <v>9.84</v>
      </c>
      <c r="G37" s="57">
        <v>49.17</v>
      </c>
      <c r="H37" s="30">
        <v>0.04</v>
      </c>
      <c r="I37" s="53"/>
      <c r="J37" s="53"/>
      <c r="K37" s="57">
        <v>7.25</v>
      </c>
      <c r="L37" s="53">
        <v>32.5</v>
      </c>
      <c r="M37" s="53">
        <v>10.5</v>
      </c>
      <c r="N37" s="30">
        <v>0.9</v>
      </c>
      <c r="O37" s="2">
        <v>3</v>
      </c>
      <c r="P37" s="2">
        <f t="shared" si="2"/>
        <v>49.151999999999994</v>
      </c>
    </row>
    <row r="38" spans="1:17" x14ac:dyDescent="0.2">
      <c r="A38" s="28"/>
      <c r="B38" s="27"/>
      <c r="C38" s="60">
        <f>SUM(C32:C37)</f>
        <v>850</v>
      </c>
      <c r="D38" s="57"/>
      <c r="E38" s="30"/>
      <c r="F38" s="57"/>
      <c r="G38" s="57"/>
      <c r="H38" s="17"/>
      <c r="I38" s="12"/>
      <c r="J38" s="12"/>
      <c r="K38" s="34"/>
      <c r="L38" s="12"/>
      <c r="M38" s="12"/>
      <c r="N38" s="17"/>
      <c r="P38" s="2">
        <f t="shared" si="2"/>
        <v>0</v>
      </c>
    </row>
    <row r="39" spans="1:17" x14ac:dyDescent="0.2">
      <c r="A39" s="18" t="s">
        <v>5</v>
      </c>
      <c r="B39" s="262" t="s">
        <v>13</v>
      </c>
      <c r="C39" s="258"/>
      <c r="D39" s="19">
        <f>D40+D46</f>
        <v>42.429600000000001</v>
      </c>
      <c r="E39" s="19">
        <f t="shared" ref="E39:O39" si="6">E40+E46</f>
        <v>38.7911</v>
      </c>
      <c r="F39" s="19">
        <f t="shared" si="6"/>
        <v>220.95490000000001</v>
      </c>
      <c r="G39" s="19">
        <f>G40+G46</f>
        <v>1456.335</v>
      </c>
      <c r="H39" s="19">
        <f t="shared" si="6"/>
        <v>0.62</v>
      </c>
      <c r="I39" s="19">
        <f t="shared" si="6"/>
        <v>35.22</v>
      </c>
      <c r="J39" s="19">
        <f t="shared" si="6"/>
        <v>596.4</v>
      </c>
      <c r="K39" s="19">
        <f t="shared" si="6"/>
        <v>182.92999999999998</v>
      </c>
      <c r="L39" s="19">
        <f t="shared" si="6"/>
        <v>512.99</v>
      </c>
      <c r="M39" s="19">
        <f t="shared" si="6"/>
        <v>219.59</v>
      </c>
      <c r="N39" s="19">
        <f t="shared" si="6"/>
        <v>11.260000000000002</v>
      </c>
      <c r="O39" s="20">
        <f t="shared" si="6"/>
        <v>151.89999999999998</v>
      </c>
      <c r="P39" s="2">
        <f t="shared" si="2"/>
        <v>1455.3348000000001</v>
      </c>
    </row>
    <row r="40" spans="1:17" x14ac:dyDescent="0.2">
      <c r="A40" s="21"/>
      <c r="B40" s="171" t="s">
        <v>66</v>
      </c>
      <c r="C40" s="171"/>
      <c r="D40" s="19">
        <f>D41+D42+D43+D44</f>
        <v>13.68</v>
      </c>
      <c r="E40" s="19">
        <f t="shared" ref="E40:O40" si="7">E41+E42+E43+E44</f>
        <v>8.5</v>
      </c>
      <c r="F40" s="19">
        <f t="shared" si="7"/>
        <v>101.5</v>
      </c>
      <c r="G40" s="19">
        <f>G41+G42+G43+G44</f>
        <v>560.125</v>
      </c>
      <c r="H40" s="19">
        <f t="shared" si="7"/>
        <v>0.1</v>
      </c>
      <c r="I40" s="19">
        <f t="shared" si="7"/>
        <v>16.39</v>
      </c>
      <c r="J40" s="19">
        <f t="shared" si="7"/>
        <v>40</v>
      </c>
      <c r="K40" s="19">
        <f t="shared" si="7"/>
        <v>72.97</v>
      </c>
      <c r="L40" s="19">
        <f t="shared" si="7"/>
        <v>29.5</v>
      </c>
      <c r="M40" s="19">
        <f t="shared" si="7"/>
        <v>5.6999999999999993</v>
      </c>
      <c r="N40" s="19">
        <f t="shared" si="7"/>
        <v>4.07</v>
      </c>
      <c r="O40" s="20">
        <f t="shared" si="7"/>
        <v>79.3</v>
      </c>
      <c r="P40" s="2">
        <f t="shared" si="2"/>
        <v>560.25600000000009</v>
      </c>
      <c r="Q40" s="2">
        <v>470</v>
      </c>
    </row>
    <row r="41" spans="1:17" x14ac:dyDescent="0.2">
      <c r="A41" s="164"/>
      <c r="B41" s="91" t="s">
        <v>41</v>
      </c>
      <c r="C41" s="92">
        <v>100</v>
      </c>
      <c r="D41" s="93">
        <v>0.4</v>
      </c>
      <c r="E41" s="93">
        <v>0</v>
      </c>
      <c r="F41" s="93">
        <v>9.8000000000000007</v>
      </c>
      <c r="G41" s="93">
        <v>42.84</v>
      </c>
      <c r="H41" s="12">
        <v>0.01</v>
      </c>
      <c r="I41" s="12">
        <v>0.39</v>
      </c>
      <c r="J41" s="12">
        <v>40</v>
      </c>
      <c r="K41" s="12">
        <v>38.9</v>
      </c>
      <c r="L41" s="12">
        <v>3.5</v>
      </c>
      <c r="M41" s="12">
        <v>0.1</v>
      </c>
      <c r="N41" s="12">
        <v>7.0000000000000007E-2</v>
      </c>
      <c r="O41" s="2">
        <v>53.5</v>
      </c>
      <c r="P41" s="2">
        <f t="shared" si="2"/>
        <v>42.84</v>
      </c>
    </row>
    <row r="42" spans="1:17" ht="24" x14ac:dyDescent="0.2">
      <c r="A42" s="54" t="s">
        <v>161</v>
      </c>
      <c r="B42" s="29" t="s">
        <v>186</v>
      </c>
      <c r="C42" s="16">
        <v>203</v>
      </c>
      <c r="D42" s="57">
        <v>8.48</v>
      </c>
      <c r="E42" s="57">
        <v>8</v>
      </c>
      <c r="F42" s="57">
        <v>36.1</v>
      </c>
      <c r="G42" s="57">
        <v>259.36</v>
      </c>
      <c r="H42" s="12"/>
      <c r="I42" s="12"/>
      <c r="J42" s="12"/>
      <c r="K42" s="34">
        <v>0.47</v>
      </c>
      <c r="L42" s="12"/>
      <c r="M42" s="12"/>
      <c r="N42" s="34">
        <v>0.04</v>
      </c>
      <c r="O42" s="2">
        <v>3</v>
      </c>
      <c r="P42" s="2">
        <f t="shared" si="2"/>
        <v>259.23599999999999</v>
      </c>
    </row>
    <row r="43" spans="1:17" ht="21.75" customHeight="1" x14ac:dyDescent="0.2">
      <c r="A43" s="22" t="s">
        <v>42</v>
      </c>
      <c r="B43" s="71" t="s">
        <v>202</v>
      </c>
      <c r="C43" s="37">
        <v>200</v>
      </c>
      <c r="D43" s="57">
        <v>1</v>
      </c>
      <c r="E43" s="57">
        <v>0.1</v>
      </c>
      <c r="F43" s="57">
        <v>31</v>
      </c>
      <c r="G43" s="57">
        <v>135</v>
      </c>
      <c r="H43" s="17">
        <v>0.04</v>
      </c>
      <c r="I43" s="12"/>
      <c r="J43" s="12"/>
      <c r="K43" s="34">
        <v>8</v>
      </c>
      <c r="L43" s="12">
        <v>26</v>
      </c>
      <c r="M43" s="12">
        <v>5.6</v>
      </c>
      <c r="N43" s="17">
        <v>0.44</v>
      </c>
      <c r="O43" s="2">
        <v>2.8</v>
      </c>
      <c r="P43" s="2">
        <f t="shared" si="2"/>
        <v>135.30000000000001</v>
      </c>
    </row>
    <row r="44" spans="1:17" x14ac:dyDescent="0.2">
      <c r="A44" s="22"/>
      <c r="B44" s="73" t="s">
        <v>11</v>
      </c>
      <c r="C44" s="16">
        <v>50</v>
      </c>
      <c r="D44" s="57">
        <f>3.04*1.25</f>
        <v>3.8</v>
      </c>
      <c r="E44" s="30">
        <f>0.32*1.25</f>
        <v>0.4</v>
      </c>
      <c r="F44" s="57">
        <f>19.68*1.25</f>
        <v>24.6</v>
      </c>
      <c r="G44" s="57">
        <f>98.34*1.25</f>
        <v>122.92500000000001</v>
      </c>
      <c r="H44" s="42">
        <v>0.05</v>
      </c>
      <c r="I44" s="43">
        <v>16</v>
      </c>
      <c r="J44" s="44"/>
      <c r="K44" s="43">
        <v>25.6</v>
      </c>
      <c r="L44" s="44"/>
      <c r="M44" s="44"/>
      <c r="N44" s="43">
        <v>3.52</v>
      </c>
      <c r="O44" s="2">
        <v>20</v>
      </c>
      <c r="P44" s="2">
        <f t="shared" si="2"/>
        <v>122.88000000000001</v>
      </c>
    </row>
    <row r="45" spans="1:17" x14ac:dyDescent="0.2">
      <c r="A45" s="22"/>
      <c r="B45" s="27"/>
      <c r="C45" s="72">
        <f>SUM(C41:C44)</f>
        <v>553</v>
      </c>
      <c r="D45" s="57"/>
      <c r="E45" s="30"/>
      <c r="F45" s="57"/>
      <c r="G45" s="57"/>
      <c r="H45" s="17"/>
      <c r="I45" s="12"/>
      <c r="J45" s="12"/>
      <c r="K45" s="34"/>
      <c r="L45" s="12"/>
      <c r="M45" s="12"/>
      <c r="N45" s="17"/>
      <c r="P45" s="2">
        <f t="shared" si="2"/>
        <v>0</v>
      </c>
    </row>
    <row r="46" spans="1:17" x14ac:dyDescent="0.2">
      <c r="A46" s="22"/>
      <c r="B46" s="176" t="s">
        <v>67</v>
      </c>
      <c r="C46" s="72"/>
      <c r="D46" s="63">
        <f>D47+D48+D49+D50+D51+D52</f>
        <v>28.749600000000001</v>
      </c>
      <c r="E46" s="63">
        <f t="shared" ref="E46:O46" si="8">E47+E48+E49+E50+E51+E52</f>
        <v>30.2911</v>
      </c>
      <c r="F46" s="63">
        <f t="shared" si="8"/>
        <v>119.45490000000001</v>
      </c>
      <c r="G46" s="63">
        <f>G47+G48+G49+G50+G51+G52</f>
        <v>896.21</v>
      </c>
      <c r="H46" s="63">
        <f t="shared" si="8"/>
        <v>0.52</v>
      </c>
      <c r="I46" s="63">
        <f t="shared" si="8"/>
        <v>18.829999999999998</v>
      </c>
      <c r="J46" s="63">
        <f t="shared" si="8"/>
        <v>556.4</v>
      </c>
      <c r="K46" s="63">
        <f t="shared" si="8"/>
        <v>109.95999999999998</v>
      </c>
      <c r="L46" s="63">
        <f t="shared" si="8"/>
        <v>483.49</v>
      </c>
      <c r="M46" s="63">
        <f t="shared" si="8"/>
        <v>213.89000000000001</v>
      </c>
      <c r="N46" s="63">
        <f t="shared" si="8"/>
        <v>7.19</v>
      </c>
      <c r="O46" s="64">
        <f t="shared" si="8"/>
        <v>72.599999999999994</v>
      </c>
      <c r="P46" s="2">
        <f t="shared" si="2"/>
        <v>895.0788</v>
      </c>
      <c r="Q46" s="2">
        <v>705</v>
      </c>
    </row>
    <row r="47" spans="1:17" x14ac:dyDescent="0.2">
      <c r="A47" s="49" t="s">
        <v>82</v>
      </c>
      <c r="B47" s="122" t="s">
        <v>83</v>
      </c>
      <c r="C47" s="37">
        <v>100</v>
      </c>
      <c r="D47" s="57">
        <f>1.21*1.67</f>
        <v>2.0206999999999997</v>
      </c>
      <c r="E47" s="57">
        <f>6.2*1.67</f>
        <v>10.353999999999999</v>
      </c>
      <c r="F47" s="57">
        <f>12.33*1.67</f>
        <v>20.591100000000001</v>
      </c>
      <c r="G47" s="57">
        <f>113*1.67</f>
        <v>188.70999999999998</v>
      </c>
      <c r="H47" s="30">
        <v>0.02</v>
      </c>
      <c r="I47" s="30">
        <v>2.2999999999999998</v>
      </c>
      <c r="J47" s="30">
        <v>443</v>
      </c>
      <c r="K47" s="30">
        <v>14</v>
      </c>
      <c r="L47" s="30">
        <v>28</v>
      </c>
      <c r="M47" s="30">
        <v>17</v>
      </c>
      <c r="N47" s="30">
        <v>0.45</v>
      </c>
      <c r="O47" s="2">
        <v>9.1999999999999993</v>
      </c>
      <c r="P47" s="2">
        <f t="shared" si="2"/>
        <v>188.15556000000001</v>
      </c>
    </row>
    <row r="48" spans="1:17" x14ac:dyDescent="0.2">
      <c r="A48" s="165" t="s">
        <v>117</v>
      </c>
      <c r="B48" s="146" t="s">
        <v>198</v>
      </c>
      <c r="C48" s="16">
        <v>250</v>
      </c>
      <c r="D48" s="30">
        <f>1.65*1.25</f>
        <v>2.0625</v>
      </c>
      <c r="E48" s="30">
        <f>1.97*1.25</f>
        <v>2.4624999999999999</v>
      </c>
      <c r="F48" s="30">
        <f>11.49*1.25</f>
        <v>14.362500000000001</v>
      </c>
      <c r="G48" s="30">
        <f>73.68*1.25</f>
        <v>92.100000000000009</v>
      </c>
      <c r="H48" s="30" t="s">
        <v>84</v>
      </c>
      <c r="I48" s="30" t="s">
        <v>85</v>
      </c>
      <c r="J48" s="53"/>
      <c r="K48" s="30" t="s">
        <v>86</v>
      </c>
      <c r="L48" s="30" t="s">
        <v>87</v>
      </c>
      <c r="M48" s="30" t="s">
        <v>88</v>
      </c>
      <c r="N48" s="30" t="s">
        <v>89</v>
      </c>
      <c r="O48" s="2">
        <v>5.6</v>
      </c>
      <c r="P48" s="2">
        <f t="shared" si="2"/>
        <v>91.147499999999994</v>
      </c>
    </row>
    <row r="49" spans="1:16" x14ac:dyDescent="0.2">
      <c r="A49" s="70" t="s">
        <v>131</v>
      </c>
      <c r="B49" s="73" t="s">
        <v>141</v>
      </c>
      <c r="C49" s="37">
        <v>100</v>
      </c>
      <c r="D49" s="57">
        <f>11.84*1.11</f>
        <v>13.1424</v>
      </c>
      <c r="E49" s="57">
        <f>10.06*1.11</f>
        <v>11.166600000000001</v>
      </c>
      <c r="F49" s="57">
        <f>16.03*1.11</f>
        <v>17.793300000000002</v>
      </c>
      <c r="G49" s="57">
        <f>208*1.11</f>
        <v>230.88000000000002</v>
      </c>
      <c r="H49" s="12">
        <v>0.1</v>
      </c>
      <c r="I49" s="12">
        <v>6.03</v>
      </c>
      <c r="J49" s="12">
        <v>92.4</v>
      </c>
      <c r="K49" s="12">
        <v>52.89</v>
      </c>
      <c r="L49" s="12">
        <v>193.68</v>
      </c>
      <c r="M49" s="12">
        <v>44.45</v>
      </c>
      <c r="N49" s="12">
        <v>1.01</v>
      </c>
      <c r="O49" s="2">
        <v>35</v>
      </c>
      <c r="P49" s="2">
        <f t="shared" si="2"/>
        <v>230.42934000000002</v>
      </c>
    </row>
    <row r="50" spans="1:16" x14ac:dyDescent="0.2">
      <c r="A50" s="159" t="s">
        <v>38</v>
      </c>
      <c r="B50" s="32" t="s">
        <v>36</v>
      </c>
      <c r="C50" s="37">
        <v>180</v>
      </c>
      <c r="D50" s="57">
        <f>8.77*1.2</f>
        <v>10.523999999999999</v>
      </c>
      <c r="E50" s="57">
        <f>5.19*1.2</f>
        <v>6.2280000000000006</v>
      </c>
      <c r="F50" s="57">
        <f>39.6*1.23</f>
        <v>48.707999999999998</v>
      </c>
      <c r="G50" s="57">
        <v>304</v>
      </c>
      <c r="H50" s="37">
        <v>0.3</v>
      </c>
      <c r="I50" s="54"/>
      <c r="J50" s="37">
        <v>21</v>
      </c>
      <c r="K50" s="37">
        <v>15.38</v>
      </c>
      <c r="L50" s="37">
        <v>208.35</v>
      </c>
      <c r="M50" s="37">
        <v>138.65</v>
      </c>
      <c r="N50" s="37">
        <v>4.66</v>
      </c>
      <c r="O50" s="2">
        <v>13</v>
      </c>
      <c r="P50" s="2">
        <f t="shared" si="2"/>
        <v>304.82640000000004</v>
      </c>
    </row>
    <row r="51" spans="1:16" x14ac:dyDescent="0.2">
      <c r="A51" s="166" t="s">
        <v>163</v>
      </c>
      <c r="B51" s="73" t="s">
        <v>10</v>
      </c>
      <c r="C51" s="16">
        <v>200</v>
      </c>
      <c r="D51" s="57">
        <v>0</v>
      </c>
      <c r="E51" s="53">
        <v>0</v>
      </c>
      <c r="F51" s="57">
        <v>10</v>
      </c>
      <c r="G51" s="30">
        <v>42</v>
      </c>
      <c r="H51" s="30" t="s">
        <v>91</v>
      </c>
      <c r="I51" s="57" t="s">
        <v>92</v>
      </c>
      <c r="J51" s="53"/>
      <c r="K51" s="57" t="s">
        <v>93</v>
      </c>
      <c r="L51" s="53"/>
      <c r="M51" s="53"/>
      <c r="N51" s="30" t="s">
        <v>94</v>
      </c>
      <c r="O51" s="2">
        <v>7</v>
      </c>
      <c r="P51" s="2">
        <f t="shared" si="2"/>
        <v>42</v>
      </c>
    </row>
    <row r="52" spans="1:16" x14ac:dyDescent="0.2">
      <c r="A52" s="22"/>
      <c r="B52" s="73" t="s">
        <v>37</v>
      </c>
      <c r="C52" s="16">
        <v>20</v>
      </c>
      <c r="D52" s="57">
        <v>1</v>
      </c>
      <c r="E52" s="30">
        <v>0.08</v>
      </c>
      <c r="F52" s="57">
        <v>8</v>
      </c>
      <c r="G52" s="57">
        <v>38.520000000000003</v>
      </c>
      <c r="H52" s="16">
        <v>0.04</v>
      </c>
      <c r="I52" s="54"/>
      <c r="J52" s="54"/>
      <c r="K52" s="37">
        <v>8</v>
      </c>
      <c r="L52" s="54">
        <v>26</v>
      </c>
      <c r="M52" s="54">
        <v>5.6</v>
      </c>
      <c r="N52" s="16">
        <v>0.44</v>
      </c>
      <c r="O52" s="2">
        <v>2.8</v>
      </c>
      <c r="P52" s="2">
        <f t="shared" si="2"/>
        <v>38.520000000000003</v>
      </c>
    </row>
    <row r="53" spans="1:16" x14ac:dyDescent="0.2">
      <c r="A53" s="22"/>
      <c r="B53" s="73"/>
      <c r="C53" s="72">
        <f>SUM(C47:C52)</f>
        <v>850</v>
      </c>
      <c r="D53" s="57"/>
      <c r="E53" s="30"/>
      <c r="F53" s="57"/>
      <c r="G53" s="57"/>
      <c r="H53" s="16"/>
      <c r="I53" s="54"/>
      <c r="J53" s="54"/>
      <c r="K53" s="37"/>
      <c r="L53" s="54"/>
      <c r="M53" s="54"/>
      <c r="N53" s="16"/>
      <c r="P53" s="2">
        <f t="shared" si="2"/>
        <v>0</v>
      </c>
    </row>
    <row r="54" spans="1:16" x14ac:dyDescent="0.2">
      <c r="A54" s="22"/>
      <c r="B54" s="27"/>
      <c r="C54" s="72"/>
      <c r="D54" s="57"/>
      <c r="E54" s="30"/>
      <c r="F54" s="57"/>
      <c r="G54" s="57"/>
      <c r="H54" s="17"/>
      <c r="I54" s="12"/>
      <c r="J54" s="12"/>
      <c r="K54" s="34"/>
      <c r="L54" s="12"/>
      <c r="M54" s="12"/>
      <c r="N54" s="17"/>
      <c r="P54" s="2">
        <f t="shared" si="2"/>
        <v>0</v>
      </c>
    </row>
    <row r="55" spans="1:16" x14ac:dyDescent="0.2">
      <c r="A55" s="21" t="s">
        <v>27</v>
      </c>
      <c r="B55" s="257" t="s">
        <v>13</v>
      </c>
      <c r="C55" s="258"/>
      <c r="D55" s="63">
        <f t="shared" ref="D55:O55" si="9">D56+D62</f>
        <v>46.173400000000001</v>
      </c>
      <c r="E55" s="63">
        <f t="shared" si="9"/>
        <v>43.667699999999996</v>
      </c>
      <c r="F55" s="63">
        <f t="shared" si="9"/>
        <v>197.79140000000001</v>
      </c>
      <c r="G55" s="63">
        <f>G56+G62</f>
        <v>1439.8600000000001</v>
      </c>
      <c r="H55" s="63" t="e">
        <f t="shared" si="9"/>
        <v>#REF!</v>
      </c>
      <c r="I55" s="63" t="e">
        <f t="shared" si="9"/>
        <v>#REF!</v>
      </c>
      <c r="J55" s="63" t="e">
        <f t="shared" si="9"/>
        <v>#REF!</v>
      </c>
      <c r="K55" s="63" t="e">
        <f t="shared" si="9"/>
        <v>#REF!</v>
      </c>
      <c r="L55" s="63" t="e">
        <f t="shared" si="9"/>
        <v>#REF!</v>
      </c>
      <c r="M55" s="63" t="e">
        <f t="shared" si="9"/>
        <v>#REF!</v>
      </c>
      <c r="N55" s="63" t="e">
        <f t="shared" si="9"/>
        <v>#REF!</v>
      </c>
      <c r="O55" s="64" t="e">
        <f t="shared" si="9"/>
        <v>#REF!</v>
      </c>
      <c r="P55" s="2">
        <f t="shared" si="2"/>
        <v>1417.66146</v>
      </c>
    </row>
    <row r="56" spans="1:16" x14ac:dyDescent="0.2">
      <c r="A56" s="21"/>
      <c r="B56" s="173" t="s">
        <v>66</v>
      </c>
      <c r="C56" s="172"/>
      <c r="D56" s="63">
        <f>D57+D58+D59+D60</f>
        <v>17.024999999999999</v>
      </c>
      <c r="E56" s="63">
        <f t="shared" ref="E56:O56" si="10">E57+E58+E59+E60</f>
        <v>9.4224999999999994</v>
      </c>
      <c r="F56" s="63">
        <f t="shared" si="10"/>
        <v>111.12</v>
      </c>
      <c r="G56" s="63">
        <f>G57+G58+G59+G60</f>
        <v>623.05000000000007</v>
      </c>
      <c r="H56" s="63">
        <f t="shared" si="10"/>
        <v>0.28900000000000003</v>
      </c>
      <c r="I56" s="63">
        <f t="shared" si="10"/>
        <v>2.12</v>
      </c>
      <c r="J56" s="63">
        <f t="shared" si="10"/>
        <v>25.2</v>
      </c>
      <c r="K56" s="63">
        <f t="shared" si="10"/>
        <v>52.03</v>
      </c>
      <c r="L56" s="63">
        <f t="shared" si="10"/>
        <v>146.85</v>
      </c>
      <c r="M56" s="63">
        <f t="shared" si="10"/>
        <v>38.21</v>
      </c>
      <c r="N56" s="63">
        <f t="shared" si="10"/>
        <v>4.7899999999999991</v>
      </c>
      <c r="O56" s="64">
        <f t="shared" si="10"/>
        <v>76.599999999999994</v>
      </c>
      <c r="P56" s="2">
        <f t="shared" si="2"/>
        <v>623.01150000000007</v>
      </c>
    </row>
    <row r="57" spans="1:16" x14ac:dyDescent="0.2">
      <c r="A57" s="143" t="s">
        <v>179</v>
      </c>
      <c r="B57" s="50" t="s">
        <v>177</v>
      </c>
      <c r="C57" s="37">
        <v>60</v>
      </c>
      <c r="D57" s="57">
        <v>4.91</v>
      </c>
      <c r="E57" s="57">
        <v>3.79</v>
      </c>
      <c r="F57" s="57">
        <v>36.090000000000003</v>
      </c>
      <c r="G57" s="57">
        <v>206.31</v>
      </c>
      <c r="H57" s="34">
        <v>0.08</v>
      </c>
      <c r="I57" s="34">
        <v>0.6</v>
      </c>
      <c r="J57" s="12"/>
      <c r="K57" s="34">
        <v>17.600000000000001</v>
      </c>
      <c r="L57" s="34">
        <v>13.35</v>
      </c>
      <c r="M57" s="34">
        <v>2.94</v>
      </c>
      <c r="N57" s="34">
        <v>2.2599999999999998</v>
      </c>
      <c r="O57" s="2">
        <v>59</v>
      </c>
      <c r="P57" s="2">
        <f t="shared" si="2"/>
        <v>206.31</v>
      </c>
    </row>
    <row r="58" spans="1:16" ht="24" x14ac:dyDescent="0.2">
      <c r="A58" s="54" t="s">
        <v>161</v>
      </c>
      <c r="B58" s="29" t="s">
        <v>185</v>
      </c>
      <c r="C58" s="16">
        <v>253</v>
      </c>
      <c r="D58" s="57">
        <f>7.26*1.25</f>
        <v>9.0749999999999993</v>
      </c>
      <c r="E58" s="57">
        <f>4.25*1.25</f>
        <v>5.3125</v>
      </c>
      <c r="F58" s="57">
        <f>36.28*1.25</f>
        <v>45.35</v>
      </c>
      <c r="G58" s="57">
        <v>276.39999999999998</v>
      </c>
      <c r="H58" s="34">
        <v>0.1</v>
      </c>
      <c r="I58" s="12"/>
      <c r="J58" s="34">
        <v>25.2</v>
      </c>
      <c r="K58" s="34">
        <v>13.46</v>
      </c>
      <c r="L58" s="34">
        <v>54.84</v>
      </c>
      <c r="M58" s="34">
        <v>9.85</v>
      </c>
      <c r="N58" s="34">
        <v>0.03</v>
      </c>
      <c r="O58" s="2">
        <v>9.6</v>
      </c>
      <c r="P58" s="2">
        <f t="shared" si="2"/>
        <v>276.39750000000004</v>
      </c>
    </row>
    <row r="59" spans="1:16" x14ac:dyDescent="0.2">
      <c r="A59" s="163" t="s">
        <v>163</v>
      </c>
      <c r="B59" s="68" t="s">
        <v>10</v>
      </c>
      <c r="C59" s="37">
        <v>200</v>
      </c>
      <c r="D59" s="57">
        <v>0</v>
      </c>
      <c r="E59" s="53">
        <v>0</v>
      </c>
      <c r="F59" s="57">
        <v>10</v>
      </c>
      <c r="G59" s="57">
        <v>42</v>
      </c>
      <c r="H59" s="58">
        <v>8.9999999999999993E-3</v>
      </c>
      <c r="I59" s="58">
        <v>1.52</v>
      </c>
      <c r="J59" s="59"/>
      <c r="K59" s="58">
        <v>3.57</v>
      </c>
      <c r="L59" s="58">
        <v>0.66</v>
      </c>
      <c r="M59" s="58">
        <v>0.22</v>
      </c>
      <c r="N59" s="58">
        <v>0.34</v>
      </c>
      <c r="O59" s="2">
        <v>5</v>
      </c>
      <c r="P59" s="2">
        <f t="shared" si="2"/>
        <v>42</v>
      </c>
    </row>
    <row r="60" spans="1:16" ht="15" customHeight="1" x14ac:dyDescent="0.2">
      <c r="A60" s="28"/>
      <c r="B60" s="27" t="s">
        <v>11</v>
      </c>
      <c r="C60" s="16">
        <v>40</v>
      </c>
      <c r="D60" s="57">
        <v>3.04</v>
      </c>
      <c r="E60" s="30">
        <v>0.32</v>
      </c>
      <c r="F60" s="57">
        <v>19.68</v>
      </c>
      <c r="G60" s="57">
        <v>98.34</v>
      </c>
      <c r="H60" s="17">
        <v>0.1</v>
      </c>
      <c r="I60" s="12"/>
      <c r="J60" s="12"/>
      <c r="K60" s="34">
        <v>17.399999999999999</v>
      </c>
      <c r="L60" s="12">
        <v>78</v>
      </c>
      <c r="M60" s="12">
        <v>25.2</v>
      </c>
      <c r="N60" s="17">
        <v>2.16</v>
      </c>
      <c r="O60" s="2">
        <v>3</v>
      </c>
      <c r="P60" s="2">
        <f t="shared" si="2"/>
        <v>98.303999999999988</v>
      </c>
    </row>
    <row r="61" spans="1:16" ht="15" customHeight="1" x14ac:dyDescent="0.2">
      <c r="A61" s="28"/>
      <c r="B61" s="27"/>
      <c r="C61" s="72">
        <f>SUM(C57:C60)</f>
        <v>553</v>
      </c>
      <c r="D61" s="57"/>
      <c r="E61" s="30"/>
      <c r="F61" s="57"/>
      <c r="G61" s="57"/>
      <c r="H61" s="17"/>
      <c r="I61" s="12"/>
      <c r="J61" s="12"/>
      <c r="K61" s="34"/>
      <c r="L61" s="12"/>
      <c r="M61" s="12"/>
      <c r="N61" s="17"/>
      <c r="P61" s="2">
        <f t="shared" si="2"/>
        <v>0</v>
      </c>
    </row>
    <row r="62" spans="1:16" ht="15" customHeight="1" x14ac:dyDescent="0.2">
      <c r="A62" s="28"/>
      <c r="B62" s="176" t="s">
        <v>67</v>
      </c>
      <c r="C62" s="72"/>
      <c r="D62" s="63">
        <f>D63+D64+D65+D66+D67</f>
        <v>29.148399999999999</v>
      </c>
      <c r="E62" s="63">
        <f>E63+E64+E65+E66+E67</f>
        <v>34.245199999999997</v>
      </c>
      <c r="F62" s="63">
        <f>F63+F64+F65+F66+F67</f>
        <v>86.671400000000006</v>
      </c>
      <c r="G62" s="63">
        <f>G63+G64+G65+G66+G67</f>
        <v>816.81</v>
      </c>
      <c r="H62" s="63" t="e">
        <f>H63+H64+H65+#REF!+H66+H67</f>
        <v>#REF!</v>
      </c>
      <c r="I62" s="63" t="e">
        <f>I63+I64+I65+#REF!+I66+I67</f>
        <v>#REF!</v>
      </c>
      <c r="J62" s="63" t="e">
        <f>J63+J64+J65+#REF!+J66+J67</f>
        <v>#REF!</v>
      </c>
      <c r="K62" s="63" t="e">
        <f>K63+K64+K65+#REF!+K66+K67</f>
        <v>#REF!</v>
      </c>
      <c r="L62" s="63" t="e">
        <f>L63+L64+L65+#REF!+L66+L67</f>
        <v>#REF!</v>
      </c>
      <c r="M62" s="63" t="e">
        <f>M63+M64+M65+#REF!+M66+M67</f>
        <v>#REF!</v>
      </c>
      <c r="N62" s="63" t="e">
        <f>N63+N64+N65+#REF!+N66+N67</f>
        <v>#REF!</v>
      </c>
      <c r="O62" s="64" t="e">
        <f>O63+O64+O65+#REF!+O66+O67</f>
        <v>#REF!</v>
      </c>
      <c r="P62" s="2">
        <f t="shared" si="2"/>
        <v>794.64995999999996</v>
      </c>
    </row>
    <row r="63" spans="1:16" ht="15" customHeight="1" x14ac:dyDescent="0.2">
      <c r="A63" s="167" t="s">
        <v>174</v>
      </c>
      <c r="B63" s="75" t="s">
        <v>142</v>
      </c>
      <c r="C63" s="54">
        <v>100</v>
      </c>
      <c r="D63" s="76">
        <f>0.74*1.66</f>
        <v>1.2283999999999999</v>
      </c>
      <c r="E63" s="76">
        <f>0.06*1.67</f>
        <v>0.1002</v>
      </c>
      <c r="F63" s="76">
        <f>6.92*1.67</f>
        <v>11.5564</v>
      </c>
      <c r="G63" s="76">
        <f>33*1.67</f>
        <v>55.11</v>
      </c>
      <c r="H63" s="30">
        <v>0.03</v>
      </c>
      <c r="I63" s="30">
        <v>5.8</v>
      </c>
      <c r="J63" s="30"/>
      <c r="K63" s="30">
        <v>18.739999999999998</v>
      </c>
      <c r="L63" s="30">
        <v>25.96</v>
      </c>
      <c r="M63" s="30">
        <v>11.72</v>
      </c>
      <c r="N63" s="30">
        <v>0.5</v>
      </c>
      <c r="O63" s="52">
        <v>11.4</v>
      </c>
      <c r="P63" s="2">
        <f t="shared" si="2"/>
        <v>54.597960000000008</v>
      </c>
    </row>
    <row r="64" spans="1:16" ht="12.75" customHeight="1" x14ac:dyDescent="0.2">
      <c r="A64" s="165" t="s">
        <v>167</v>
      </c>
      <c r="B64" s="29" t="s">
        <v>190</v>
      </c>
      <c r="C64" s="16">
        <v>250</v>
      </c>
      <c r="D64" s="30">
        <f>5.52*1.25</f>
        <v>6.8999999999999995</v>
      </c>
      <c r="E64" s="30">
        <f>14.18*1.25</f>
        <v>17.725000000000001</v>
      </c>
      <c r="F64" s="30">
        <f>10.9*1.25</f>
        <v>13.625</v>
      </c>
      <c r="G64" s="30">
        <v>267.32</v>
      </c>
      <c r="H64" s="30" t="s">
        <v>95</v>
      </c>
      <c r="I64" s="30" t="s">
        <v>96</v>
      </c>
      <c r="J64" s="53"/>
      <c r="K64" s="30" t="s">
        <v>97</v>
      </c>
      <c r="L64" s="30" t="s">
        <v>98</v>
      </c>
      <c r="M64" s="30" t="s">
        <v>99</v>
      </c>
      <c r="N64" s="30" t="s">
        <v>100</v>
      </c>
      <c r="O64" s="2">
        <v>9.6</v>
      </c>
      <c r="P64" s="2">
        <f t="shared" si="2"/>
        <v>245.73000000000002</v>
      </c>
    </row>
    <row r="65" spans="1:16" ht="15" customHeight="1" x14ac:dyDescent="0.2">
      <c r="A65" s="28">
        <v>209</v>
      </c>
      <c r="B65" s="29" t="s">
        <v>143</v>
      </c>
      <c r="C65" s="16">
        <v>260</v>
      </c>
      <c r="D65" s="30">
        <v>18.350000000000001</v>
      </c>
      <c r="E65" s="30">
        <v>16.260000000000002</v>
      </c>
      <c r="F65" s="30">
        <v>39.619999999999997</v>
      </c>
      <c r="G65" s="30">
        <v>389.81</v>
      </c>
      <c r="H65" s="30" t="s">
        <v>84</v>
      </c>
      <c r="I65" s="30" t="s">
        <v>112</v>
      </c>
      <c r="J65" s="53"/>
      <c r="K65" s="30" t="s">
        <v>113</v>
      </c>
      <c r="L65" s="30" t="s">
        <v>114</v>
      </c>
      <c r="M65" s="30" t="s">
        <v>115</v>
      </c>
      <c r="N65" s="30" t="s">
        <v>116</v>
      </c>
      <c r="O65" s="2">
        <v>35.700000000000003</v>
      </c>
      <c r="P65" s="2">
        <f t="shared" si="2"/>
        <v>389.81400000000002</v>
      </c>
    </row>
    <row r="66" spans="1:16" ht="17.25" customHeight="1" x14ac:dyDescent="0.2">
      <c r="A66" s="168" t="s">
        <v>42</v>
      </c>
      <c r="B66" s="50" t="s">
        <v>201</v>
      </c>
      <c r="C66" s="37">
        <v>200</v>
      </c>
      <c r="D66" s="57">
        <v>1.1499999999999999</v>
      </c>
      <c r="E66" s="53"/>
      <c r="F66" s="57">
        <v>12.03</v>
      </c>
      <c r="G66" s="57">
        <v>55.4</v>
      </c>
      <c r="H66" s="77">
        <v>0.01</v>
      </c>
      <c r="I66" s="77">
        <v>0.65</v>
      </c>
      <c r="J66" s="78"/>
      <c r="K66" s="77">
        <v>19.23</v>
      </c>
      <c r="L66" s="78"/>
      <c r="M66" s="78"/>
      <c r="N66" s="77">
        <v>0.72</v>
      </c>
      <c r="O66" s="2">
        <v>7</v>
      </c>
      <c r="P66" s="2">
        <f t="shared" si="2"/>
        <v>55.356000000000002</v>
      </c>
    </row>
    <row r="67" spans="1:16" ht="15" customHeight="1" x14ac:dyDescent="0.2">
      <c r="A67" s="28"/>
      <c r="B67" s="27" t="s">
        <v>11</v>
      </c>
      <c r="C67" s="16">
        <v>20</v>
      </c>
      <c r="D67" s="57">
        <v>1.52</v>
      </c>
      <c r="E67" s="30">
        <v>0.16</v>
      </c>
      <c r="F67" s="57">
        <v>9.84</v>
      </c>
      <c r="G67" s="57">
        <v>49.17</v>
      </c>
      <c r="H67" s="30">
        <v>0.04</v>
      </c>
      <c r="I67" s="53"/>
      <c r="J67" s="53"/>
      <c r="K67" s="57">
        <v>7.25</v>
      </c>
      <c r="L67" s="53">
        <v>32.5</v>
      </c>
      <c r="M67" s="53">
        <v>10.5</v>
      </c>
      <c r="N67" s="30">
        <v>0.9</v>
      </c>
      <c r="O67" s="2">
        <v>3</v>
      </c>
      <c r="P67" s="2">
        <f t="shared" si="2"/>
        <v>49.151999999999994</v>
      </c>
    </row>
    <row r="68" spans="1:16" ht="15" customHeight="1" x14ac:dyDescent="0.2">
      <c r="A68" s="28"/>
      <c r="B68" s="73"/>
      <c r="C68" s="72">
        <f>SUM(C63:C67)</f>
        <v>830</v>
      </c>
      <c r="D68" s="57"/>
      <c r="E68" s="30"/>
      <c r="F68" s="57"/>
      <c r="G68" s="57"/>
      <c r="H68" s="30"/>
      <c r="I68" s="53"/>
      <c r="J68" s="53"/>
      <c r="K68" s="57"/>
      <c r="L68" s="53"/>
      <c r="M68" s="53"/>
      <c r="N68" s="30"/>
      <c r="P68" s="2">
        <f t="shared" si="2"/>
        <v>0</v>
      </c>
    </row>
    <row r="69" spans="1:16" x14ac:dyDescent="0.2">
      <c r="A69" s="21" t="s">
        <v>28</v>
      </c>
      <c r="B69" s="257" t="s">
        <v>13</v>
      </c>
      <c r="C69" s="258"/>
      <c r="D69" s="63">
        <f>D70+D76</f>
        <v>47.968000000000004</v>
      </c>
      <c r="E69" s="63">
        <f t="shared" ref="E69:O69" si="11">E70+E76</f>
        <v>41.669700000000006</v>
      </c>
      <c r="F69" s="63">
        <f t="shared" si="11"/>
        <v>209.28775000000002</v>
      </c>
      <c r="G69" s="63">
        <f>G70+G76</f>
        <v>1459.1034999999999</v>
      </c>
      <c r="H69" s="63">
        <f t="shared" si="11"/>
        <v>0.66</v>
      </c>
      <c r="I69" s="63">
        <f t="shared" si="11"/>
        <v>70.66</v>
      </c>
      <c r="J69" s="63">
        <f t="shared" si="11"/>
        <v>16</v>
      </c>
      <c r="K69" s="63">
        <f t="shared" si="11"/>
        <v>423.5100000000001</v>
      </c>
      <c r="L69" s="63">
        <f t="shared" si="11"/>
        <v>173.92000000000002</v>
      </c>
      <c r="M69" s="63">
        <f t="shared" si="11"/>
        <v>63.459999999999994</v>
      </c>
      <c r="N69" s="63">
        <f t="shared" si="11"/>
        <v>10.280000000000001</v>
      </c>
      <c r="O69" s="64">
        <f t="shared" si="11"/>
        <v>184.39999999999998</v>
      </c>
      <c r="P69" s="2">
        <f t="shared" si="2"/>
        <v>1455.5014500000002</v>
      </c>
    </row>
    <row r="70" spans="1:16" x14ac:dyDescent="0.2">
      <c r="A70" s="21"/>
      <c r="B70" s="173" t="s">
        <v>66</v>
      </c>
      <c r="C70" s="172"/>
      <c r="D70" s="63">
        <f>D71+D72+D73+D74</f>
        <v>15.64</v>
      </c>
      <c r="E70" s="63">
        <f>E71+E72+E73+E74</f>
        <v>9.620000000000001</v>
      </c>
      <c r="F70" s="63">
        <f>F71+F72+F73+F74</f>
        <v>94.050000000000011</v>
      </c>
      <c r="G70" s="63">
        <f>G71+G72+G73+G74</f>
        <v>547.32500000000005</v>
      </c>
      <c r="H70" s="63">
        <f t="shared" ref="H70:O70" si="12">H71+H72+H73+H74</f>
        <v>0.16000000000000003</v>
      </c>
      <c r="I70" s="63">
        <f t="shared" si="12"/>
        <v>16.88</v>
      </c>
      <c r="J70" s="63">
        <f t="shared" si="12"/>
        <v>16</v>
      </c>
      <c r="K70" s="63">
        <f t="shared" si="12"/>
        <v>316.85000000000008</v>
      </c>
      <c r="L70" s="63">
        <f t="shared" si="12"/>
        <v>8.1999999999999993</v>
      </c>
      <c r="M70" s="63">
        <f t="shared" si="12"/>
        <v>1.48</v>
      </c>
      <c r="N70" s="63">
        <f t="shared" si="12"/>
        <v>4.75</v>
      </c>
      <c r="O70" s="64">
        <f t="shared" si="12"/>
        <v>95</v>
      </c>
      <c r="P70" s="2">
        <f t="shared" si="2"/>
        <v>547.27800000000013</v>
      </c>
    </row>
    <row r="71" spans="1:16" x14ac:dyDescent="0.2">
      <c r="A71" s="164"/>
      <c r="B71" s="91" t="s">
        <v>41</v>
      </c>
      <c r="C71" s="92">
        <v>100</v>
      </c>
      <c r="D71" s="93">
        <v>0.4</v>
      </c>
      <c r="E71" s="93">
        <v>0</v>
      </c>
      <c r="F71" s="93">
        <v>9.8000000000000007</v>
      </c>
      <c r="G71" s="93">
        <v>42.84</v>
      </c>
      <c r="H71" s="34">
        <v>7.0000000000000007E-2</v>
      </c>
      <c r="I71" s="34">
        <v>0.88</v>
      </c>
      <c r="J71" s="34">
        <v>16</v>
      </c>
      <c r="K71" s="34">
        <v>283.18</v>
      </c>
      <c r="L71" s="34">
        <v>8.1999999999999993</v>
      </c>
      <c r="M71" s="34">
        <v>1.48</v>
      </c>
      <c r="N71" s="34">
        <v>0.71</v>
      </c>
      <c r="O71" s="2">
        <v>66</v>
      </c>
      <c r="P71" s="2">
        <f t="shared" si="2"/>
        <v>42.84</v>
      </c>
    </row>
    <row r="72" spans="1:16" x14ac:dyDescent="0.2">
      <c r="A72" s="170" t="s">
        <v>180</v>
      </c>
      <c r="B72" s="79" t="s">
        <v>178</v>
      </c>
      <c r="C72" s="37">
        <v>203</v>
      </c>
      <c r="D72" s="57">
        <v>11.44</v>
      </c>
      <c r="E72" s="57">
        <v>9.2200000000000006</v>
      </c>
      <c r="F72" s="57">
        <v>49.65</v>
      </c>
      <c r="G72" s="57">
        <v>339.56</v>
      </c>
      <c r="H72" s="12"/>
      <c r="I72" s="12"/>
      <c r="J72" s="12"/>
      <c r="K72" s="34">
        <v>0.47</v>
      </c>
      <c r="L72" s="12"/>
      <c r="M72" s="12"/>
      <c r="N72" s="34">
        <v>0.04</v>
      </c>
      <c r="O72" s="2">
        <v>3</v>
      </c>
      <c r="P72" s="2">
        <f t="shared" si="2"/>
        <v>339.55799999999999</v>
      </c>
    </row>
    <row r="73" spans="1:16" x14ac:dyDescent="0.2">
      <c r="A73" s="169" t="s">
        <v>163</v>
      </c>
      <c r="B73" s="27" t="s">
        <v>10</v>
      </c>
      <c r="C73" s="36">
        <v>200</v>
      </c>
      <c r="D73" s="57">
        <v>0</v>
      </c>
      <c r="E73" s="30">
        <v>0</v>
      </c>
      <c r="F73" s="57">
        <v>10</v>
      </c>
      <c r="G73" s="57">
        <v>42</v>
      </c>
      <c r="H73" s="17">
        <v>0.04</v>
      </c>
      <c r="I73" s="12"/>
      <c r="J73" s="12"/>
      <c r="K73" s="34">
        <v>7.6</v>
      </c>
      <c r="L73" s="12"/>
      <c r="M73" s="12"/>
      <c r="N73" s="17">
        <v>0.48</v>
      </c>
      <c r="O73" s="2">
        <v>4</v>
      </c>
      <c r="P73" s="2">
        <f t="shared" ref="P73:P136" si="13">(D73+F73)*4.2+E73*9</f>
        <v>42</v>
      </c>
    </row>
    <row r="74" spans="1:16" ht="13.5" customHeight="1" x14ac:dyDescent="0.2">
      <c r="A74" s="28"/>
      <c r="B74" s="73" t="s">
        <v>11</v>
      </c>
      <c r="C74" s="16">
        <v>50</v>
      </c>
      <c r="D74" s="57">
        <f>3.04*1.25</f>
        <v>3.8</v>
      </c>
      <c r="E74" s="30">
        <f>0.32*1.25</f>
        <v>0.4</v>
      </c>
      <c r="F74" s="57">
        <f>19.68*1.25</f>
        <v>24.6</v>
      </c>
      <c r="G74" s="57">
        <f>98.34*1.25</f>
        <v>122.92500000000001</v>
      </c>
      <c r="H74" s="42">
        <v>0.05</v>
      </c>
      <c r="I74" s="43">
        <v>16</v>
      </c>
      <c r="J74" s="44"/>
      <c r="K74" s="43">
        <v>25.6</v>
      </c>
      <c r="L74" s="44"/>
      <c r="M74" s="44"/>
      <c r="N74" s="43">
        <v>3.52</v>
      </c>
      <c r="O74" s="2">
        <v>22</v>
      </c>
      <c r="P74" s="2">
        <f t="shared" si="13"/>
        <v>122.88000000000001</v>
      </c>
    </row>
    <row r="75" spans="1:16" x14ac:dyDescent="0.2">
      <c r="A75" s="70"/>
      <c r="B75" s="27"/>
      <c r="C75" s="80">
        <f>SUM(C71:C74)</f>
        <v>553</v>
      </c>
      <c r="D75" s="57"/>
      <c r="E75" s="53"/>
      <c r="F75" s="57"/>
      <c r="G75" s="57"/>
      <c r="H75" s="12"/>
      <c r="I75" s="34"/>
      <c r="J75" s="12"/>
      <c r="K75" s="34"/>
      <c r="L75" s="34"/>
      <c r="M75" s="34"/>
      <c r="N75" s="34"/>
      <c r="P75" s="2">
        <f t="shared" si="13"/>
        <v>0</v>
      </c>
    </row>
    <row r="76" spans="1:16" x14ac:dyDescent="0.2">
      <c r="A76" s="70"/>
      <c r="B76" s="176" t="s">
        <v>67</v>
      </c>
      <c r="C76" s="80"/>
      <c r="D76" s="63">
        <f>D77+D78+D79+D80+D81+D82</f>
        <v>32.328000000000003</v>
      </c>
      <c r="E76" s="63">
        <f>E77+E78+E79+E80+E81+E82</f>
        <v>32.049700000000001</v>
      </c>
      <c r="F76" s="63">
        <f>F77+F78+F79+F80+F81+F82</f>
        <v>115.23774999999999</v>
      </c>
      <c r="G76" s="63">
        <f>G77+G78+G79+G80+G81+G82</f>
        <v>911.77849999999989</v>
      </c>
      <c r="H76" s="63">
        <f t="shared" ref="H76:O76" si="14">H77+H78+H79+H80+H81</f>
        <v>0.5</v>
      </c>
      <c r="I76" s="63">
        <f t="shared" si="14"/>
        <v>53.78</v>
      </c>
      <c r="J76" s="63">
        <f t="shared" si="14"/>
        <v>0</v>
      </c>
      <c r="K76" s="63">
        <f t="shared" si="14"/>
        <v>106.66</v>
      </c>
      <c r="L76" s="63">
        <f t="shared" si="14"/>
        <v>165.72000000000003</v>
      </c>
      <c r="M76" s="63">
        <f t="shared" si="14"/>
        <v>61.98</v>
      </c>
      <c r="N76" s="63">
        <f t="shared" si="14"/>
        <v>5.5300000000000011</v>
      </c>
      <c r="O76" s="64">
        <f t="shared" si="14"/>
        <v>89.399999999999991</v>
      </c>
      <c r="P76" s="2">
        <f t="shared" si="13"/>
        <v>908.22344999999996</v>
      </c>
    </row>
    <row r="77" spans="1:16" ht="18.75" customHeight="1" x14ac:dyDescent="0.2">
      <c r="A77" s="49" t="s">
        <v>171</v>
      </c>
      <c r="B77" s="50" t="s">
        <v>145</v>
      </c>
      <c r="C77" s="51">
        <v>100</v>
      </c>
      <c r="D77" s="57">
        <f>0.8*1.67</f>
        <v>1.3360000000000001</v>
      </c>
      <c r="E77" s="57">
        <f>3.11*1.67</f>
        <v>5.1936999999999998</v>
      </c>
      <c r="F77" s="57">
        <f>5.64*1.67</f>
        <v>9.4187999999999992</v>
      </c>
      <c r="G77" s="57">
        <f>55.8*1.67</f>
        <v>93.185999999999993</v>
      </c>
      <c r="H77" s="34">
        <v>0.04</v>
      </c>
      <c r="I77" s="34">
        <v>15</v>
      </c>
      <c r="J77" s="53"/>
      <c r="K77" s="34">
        <v>8.4</v>
      </c>
      <c r="L77" s="34"/>
      <c r="M77" s="34"/>
      <c r="N77" s="34">
        <v>0.54</v>
      </c>
      <c r="O77" s="2">
        <v>10.9</v>
      </c>
      <c r="P77" s="2">
        <f t="shared" si="13"/>
        <v>91.913460000000001</v>
      </c>
    </row>
    <row r="78" spans="1:16" x14ac:dyDescent="0.2">
      <c r="A78" s="28" t="s">
        <v>165</v>
      </c>
      <c r="B78" s="32" t="s">
        <v>199</v>
      </c>
      <c r="C78" s="16">
        <v>250</v>
      </c>
      <c r="D78" s="30">
        <f>3*1.25</f>
        <v>3.75</v>
      </c>
      <c r="E78" s="30">
        <f>(4.61-0.21)*1.25</f>
        <v>5.5</v>
      </c>
      <c r="F78" s="30">
        <f>(12.54-0.05)*1.255</f>
        <v>15.674949999999997</v>
      </c>
      <c r="G78" s="30">
        <f>106.65*1.25</f>
        <v>133.3125</v>
      </c>
      <c r="H78" s="30" t="s">
        <v>45</v>
      </c>
      <c r="I78" s="30" t="s">
        <v>102</v>
      </c>
      <c r="J78" s="53"/>
      <c r="K78" s="30" t="s">
        <v>103</v>
      </c>
      <c r="L78" s="30" t="s">
        <v>104</v>
      </c>
      <c r="M78" s="30" t="s">
        <v>105</v>
      </c>
      <c r="N78" s="30" t="s">
        <v>106</v>
      </c>
      <c r="O78" s="2">
        <v>9.6</v>
      </c>
      <c r="P78" s="2">
        <f t="shared" si="13"/>
        <v>131.08479</v>
      </c>
    </row>
    <row r="79" spans="1:16" x14ac:dyDescent="0.2">
      <c r="A79" s="28" t="s">
        <v>146</v>
      </c>
      <c r="B79" s="79" t="s">
        <v>147</v>
      </c>
      <c r="C79" s="10">
        <v>110</v>
      </c>
      <c r="D79" s="57">
        <v>5.73</v>
      </c>
      <c r="E79" s="57">
        <v>16.34</v>
      </c>
      <c r="F79" s="57">
        <v>10.38</v>
      </c>
      <c r="G79" s="57">
        <v>215</v>
      </c>
      <c r="H79" s="37">
        <v>0.22</v>
      </c>
      <c r="I79" s="37">
        <v>27.28</v>
      </c>
      <c r="J79" s="37"/>
      <c r="K79" s="37">
        <v>29.14</v>
      </c>
      <c r="L79" s="37">
        <v>79.98</v>
      </c>
      <c r="M79" s="37">
        <v>31.56</v>
      </c>
      <c r="N79" s="37">
        <v>2.3199999999999998</v>
      </c>
      <c r="O79" s="2">
        <v>59.1</v>
      </c>
      <c r="P79" s="2">
        <f t="shared" si="13"/>
        <v>214.72200000000001</v>
      </c>
    </row>
    <row r="80" spans="1:16" x14ac:dyDescent="0.2">
      <c r="A80" s="81" t="s">
        <v>134</v>
      </c>
      <c r="B80" s="50" t="s">
        <v>148</v>
      </c>
      <c r="C80" s="37">
        <v>180</v>
      </c>
      <c r="D80" s="57">
        <f>16.26*1.2</f>
        <v>19.512</v>
      </c>
      <c r="E80" s="82">
        <f>4.03*1.2</f>
        <v>4.8360000000000003</v>
      </c>
      <c r="F80" s="57">
        <f>33.97*1.2</f>
        <v>40.763999999999996</v>
      </c>
      <c r="G80" s="57">
        <f>247.3*1.2</f>
        <v>296.76</v>
      </c>
      <c r="H80" s="57">
        <v>0.02</v>
      </c>
      <c r="I80" s="57"/>
      <c r="J80" s="53"/>
      <c r="K80" s="57">
        <v>20.32</v>
      </c>
      <c r="L80" s="57">
        <v>19.36</v>
      </c>
      <c r="M80" s="57">
        <v>8.1199999999999992</v>
      </c>
      <c r="N80" s="57">
        <v>0.45</v>
      </c>
      <c r="O80" s="2">
        <v>7</v>
      </c>
      <c r="P80" s="2">
        <f t="shared" si="13"/>
        <v>296.6832</v>
      </c>
    </row>
    <row r="81" spans="1:32" ht="29.25" customHeight="1" x14ac:dyDescent="0.2">
      <c r="A81" s="28" t="s">
        <v>42</v>
      </c>
      <c r="B81" s="50" t="s">
        <v>202</v>
      </c>
      <c r="C81" s="37">
        <v>200</v>
      </c>
      <c r="D81" s="57">
        <v>1</v>
      </c>
      <c r="E81" s="57">
        <v>0.1</v>
      </c>
      <c r="F81" s="57">
        <v>31</v>
      </c>
      <c r="G81" s="57">
        <v>135</v>
      </c>
      <c r="H81" s="16">
        <v>0.04</v>
      </c>
      <c r="I81" s="54"/>
      <c r="J81" s="54"/>
      <c r="K81" s="37">
        <v>8</v>
      </c>
      <c r="L81" s="54">
        <v>26</v>
      </c>
      <c r="M81" s="54">
        <v>5.6</v>
      </c>
      <c r="N81" s="16">
        <v>0.44</v>
      </c>
      <c r="O81" s="2">
        <v>2.8</v>
      </c>
      <c r="P81" s="2">
        <f t="shared" si="13"/>
        <v>135.30000000000001</v>
      </c>
    </row>
    <row r="82" spans="1:32" x14ac:dyDescent="0.2">
      <c r="A82" s="22"/>
      <c r="B82" s="73" t="s">
        <v>37</v>
      </c>
      <c r="C82" s="16">
        <v>20</v>
      </c>
      <c r="D82" s="57">
        <v>1</v>
      </c>
      <c r="E82" s="30">
        <v>0.08</v>
      </c>
      <c r="F82" s="57">
        <v>8</v>
      </c>
      <c r="G82" s="57">
        <v>38.520000000000003</v>
      </c>
      <c r="H82" s="16"/>
      <c r="I82" s="54"/>
      <c r="J82" s="54"/>
      <c r="K82" s="37"/>
      <c r="L82" s="54"/>
      <c r="M82" s="54"/>
      <c r="N82" s="16"/>
      <c r="P82" s="2">
        <f t="shared" si="13"/>
        <v>38.520000000000003</v>
      </c>
    </row>
    <row r="83" spans="1:32" x14ac:dyDescent="0.2">
      <c r="A83" s="22"/>
      <c r="B83" s="83"/>
      <c r="C83" s="72">
        <f>SUM(C77:C82)</f>
        <v>860</v>
      </c>
      <c r="D83" s="57"/>
      <c r="E83" s="30"/>
      <c r="F83" s="57"/>
      <c r="G83" s="57"/>
      <c r="H83" s="17"/>
      <c r="I83" s="12"/>
      <c r="J83" s="12"/>
      <c r="K83" s="34"/>
      <c r="L83" s="12"/>
      <c r="M83" s="12"/>
      <c r="N83" s="17"/>
      <c r="P83" s="2">
        <f t="shared" si="13"/>
        <v>0</v>
      </c>
    </row>
    <row r="84" spans="1:32" x14ac:dyDescent="0.2">
      <c r="A84" s="84" t="s">
        <v>29</v>
      </c>
      <c r="B84" s="257" t="s">
        <v>13</v>
      </c>
      <c r="C84" s="258"/>
      <c r="D84" s="63">
        <f t="shared" ref="D84:O84" si="15">D85+D91</f>
        <v>41.438000000000002</v>
      </c>
      <c r="E84" s="63">
        <f t="shared" si="15"/>
        <v>48.205000000000005</v>
      </c>
      <c r="F84" s="63">
        <f t="shared" si="15"/>
        <v>191.35026000000002</v>
      </c>
      <c r="G84" s="63">
        <f>G85+G91</f>
        <v>1411.44</v>
      </c>
      <c r="H84" s="63" t="e">
        <f t="shared" si="15"/>
        <v>#REF!</v>
      </c>
      <c r="I84" s="63" t="e">
        <f t="shared" si="15"/>
        <v>#REF!</v>
      </c>
      <c r="J84" s="63" t="e">
        <f t="shared" si="15"/>
        <v>#REF!</v>
      </c>
      <c r="K84" s="63" t="e">
        <f t="shared" si="15"/>
        <v>#REF!</v>
      </c>
      <c r="L84" s="63" t="e">
        <f t="shared" si="15"/>
        <v>#REF!</v>
      </c>
      <c r="M84" s="63" t="e">
        <f t="shared" si="15"/>
        <v>#REF!</v>
      </c>
      <c r="N84" s="63" t="e">
        <f t="shared" si="15"/>
        <v>#REF!</v>
      </c>
      <c r="O84" s="64" t="e">
        <f t="shared" si="15"/>
        <v>#REF!</v>
      </c>
      <c r="P84" s="2">
        <f t="shared" si="13"/>
        <v>1411.5556920000004</v>
      </c>
    </row>
    <row r="85" spans="1:32" x14ac:dyDescent="0.2">
      <c r="A85" s="85"/>
      <c r="B85" s="173" t="s">
        <v>66</v>
      </c>
      <c r="C85" s="86"/>
      <c r="D85" s="87">
        <f>D86+D87+D88+D89</f>
        <v>12.399999999999999</v>
      </c>
      <c r="E85" s="87">
        <f>E86+E87+E88+E89</f>
        <v>10.6</v>
      </c>
      <c r="F85" s="87">
        <f>F86+F87+F88+F89</f>
        <v>94.420000000000016</v>
      </c>
      <c r="G85" s="87">
        <f>G86+G87+G88+G89</f>
        <v>544.08500000000004</v>
      </c>
      <c r="H85" s="87" t="e">
        <f>H86+H87+H88+H89+#REF!</f>
        <v>#REF!</v>
      </c>
      <c r="I85" s="87" t="e">
        <f>I86+I87+I88+I89+#REF!</f>
        <v>#REF!</v>
      </c>
      <c r="J85" s="87" t="e">
        <f>J86+J87+J88+J89+#REF!</f>
        <v>#REF!</v>
      </c>
      <c r="K85" s="87" t="e">
        <f>K86+K87+K88+K89+#REF!</f>
        <v>#REF!</v>
      </c>
      <c r="L85" s="87" t="e">
        <f>L86+L87+L88+L89+#REF!</f>
        <v>#REF!</v>
      </c>
      <c r="M85" s="87" t="e">
        <f>M86+M87+M88+M89+#REF!</f>
        <v>#REF!</v>
      </c>
      <c r="N85" s="87" t="e">
        <f>N86+N87+N88+N89+#REF!</f>
        <v>#REF!</v>
      </c>
      <c r="O85" s="88" t="e">
        <f>O86+O87+O88+O89+#REF!</f>
        <v>#REF!</v>
      </c>
      <c r="P85" s="2">
        <f>(D85+F85)*4.2+E85*9</f>
        <v>544.0440000000001</v>
      </c>
      <c r="Q85" s="89">
        <f>G85-470</f>
        <v>74.085000000000036</v>
      </c>
      <c r="R85" s="2">
        <f>Q85/9</f>
        <v>8.2316666666666709</v>
      </c>
    </row>
    <row r="86" spans="1:32" x14ac:dyDescent="0.2">
      <c r="A86" s="90"/>
      <c r="B86" s="91" t="s">
        <v>41</v>
      </c>
      <c r="C86" s="92">
        <v>100</v>
      </c>
      <c r="D86" s="93">
        <v>0.4</v>
      </c>
      <c r="E86" s="93">
        <v>0</v>
      </c>
      <c r="F86" s="93">
        <v>9.8000000000000007</v>
      </c>
      <c r="G86" s="93">
        <v>42.84</v>
      </c>
      <c r="H86" s="94">
        <v>0.11</v>
      </c>
      <c r="I86" s="94">
        <v>0.95</v>
      </c>
      <c r="J86" s="94">
        <v>40</v>
      </c>
      <c r="K86" s="94">
        <v>99.66</v>
      </c>
      <c r="L86" s="94">
        <v>71.290000000000006</v>
      </c>
      <c r="M86" s="94">
        <v>23.64</v>
      </c>
      <c r="N86" s="94">
        <v>0.79</v>
      </c>
      <c r="O86" s="2">
        <v>15</v>
      </c>
      <c r="P86" s="2">
        <f t="shared" si="13"/>
        <v>42.84</v>
      </c>
    </row>
    <row r="87" spans="1:32" ht="24.75" customHeight="1" x14ac:dyDescent="0.2">
      <c r="A87" s="28" t="s">
        <v>161</v>
      </c>
      <c r="B87" s="29" t="s">
        <v>183</v>
      </c>
      <c r="C87" s="16">
        <v>203</v>
      </c>
      <c r="D87" s="30">
        <v>8.1999999999999993</v>
      </c>
      <c r="E87" s="30">
        <v>10.199999999999999</v>
      </c>
      <c r="F87" s="30">
        <v>50.02</v>
      </c>
      <c r="G87" s="30">
        <v>336.32</v>
      </c>
      <c r="H87" s="17">
        <v>0.03</v>
      </c>
      <c r="I87" s="17">
        <v>0.65</v>
      </c>
      <c r="J87" s="12"/>
      <c r="K87" s="17">
        <v>64.430000000000007</v>
      </c>
      <c r="L87" s="12"/>
      <c r="M87" s="12"/>
      <c r="N87" s="17">
        <v>0.4</v>
      </c>
      <c r="O87" s="2">
        <v>7.7</v>
      </c>
      <c r="P87" s="2">
        <f t="shared" si="13"/>
        <v>336.32400000000001</v>
      </c>
      <c r="Q87" s="95"/>
      <c r="R87" s="96"/>
      <c r="S87" s="96"/>
      <c r="T87" s="96"/>
      <c r="U87" s="96"/>
      <c r="V87" s="96"/>
      <c r="W87" s="96"/>
      <c r="X87" s="97"/>
      <c r="Y87" s="96"/>
      <c r="Z87" s="96"/>
      <c r="AA87" s="96"/>
      <c r="AB87" s="96"/>
      <c r="AC87" s="96"/>
    </row>
    <row r="88" spans="1:32" ht="12" customHeight="1" x14ac:dyDescent="0.2">
      <c r="A88" s="33" t="s">
        <v>163</v>
      </c>
      <c r="B88" s="23" t="s">
        <v>10</v>
      </c>
      <c r="C88" s="24">
        <v>200</v>
      </c>
      <c r="D88" s="148">
        <v>0</v>
      </c>
      <c r="E88" s="148">
        <v>0</v>
      </c>
      <c r="F88" s="148">
        <v>10</v>
      </c>
      <c r="G88" s="148">
        <v>42</v>
      </c>
      <c r="H88" s="12"/>
      <c r="I88" s="34">
        <v>0.28000000000000003</v>
      </c>
      <c r="J88" s="12"/>
      <c r="K88" s="34">
        <v>100.5</v>
      </c>
      <c r="L88" s="12"/>
      <c r="M88" s="12"/>
      <c r="N88" s="34">
        <v>0.09</v>
      </c>
      <c r="O88" s="2">
        <v>9</v>
      </c>
      <c r="P88" s="2">
        <f t="shared" si="13"/>
        <v>42</v>
      </c>
      <c r="Q88" s="95"/>
      <c r="R88" s="96"/>
      <c r="S88" s="96"/>
      <c r="T88" s="96"/>
      <c r="U88" s="96"/>
      <c r="V88" s="96"/>
      <c r="W88" s="96"/>
      <c r="X88" s="97"/>
      <c r="Y88" s="96"/>
      <c r="Z88" s="96"/>
      <c r="AA88" s="96"/>
      <c r="AB88" s="96"/>
      <c r="AC88" s="96"/>
    </row>
    <row r="89" spans="1:32" x14ac:dyDescent="0.2">
      <c r="A89" s="35"/>
      <c r="B89" s="73" t="s">
        <v>11</v>
      </c>
      <c r="C89" s="16">
        <v>50</v>
      </c>
      <c r="D89" s="57">
        <f>3.04*1.25</f>
        <v>3.8</v>
      </c>
      <c r="E89" s="30">
        <f>0.32*1.25</f>
        <v>0.4</v>
      </c>
      <c r="F89" s="57">
        <f>19.68*1.25</f>
        <v>24.6</v>
      </c>
      <c r="G89" s="57">
        <f>98.34*1.25</f>
        <v>122.92500000000001</v>
      </c>
      <c r="H89" s="17">
        <v>0.04</v>
      </c>
      <c r="I89" s="12"/>
      <c r="J89" s="12"/>
      <c r="K89" s="34">
        <v>7.6</v>
      </c>
      <c r="L89" s="12"/>
      <c r="M89" s="12"/>
      <c r="N89" s="17">
        <v>0.48</v>
      </c>
      <c r="O89" s="98">
        <v>4</v>
      </c>
      <c r="P89" s="2">
        <f t="shared" si="13"/>
        <v>122.88000000000001</v>
      </c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</row>
    <row r="90" spans="1:32" x14ac:dyDescent="0.2">
      <c r="A90" s="38"/>
      <c r="B90" s="39"/>
      <c r="C90" s="45">
        <f>SUM(C86:C89)</f>
        <v>553</v>
      </c>
      <c r="D90" s="149"/>
      <c r="E90" s="150"/>
      <c r="F90" s="149"/>
      <c r="G90" s="149"/>
      <c r="H90" s="42"/>
      <c r="I90" s="43"/>
      <c r="J90" s="44"/>
      <c r="K90" s="43"/>
      <c r="L90" s="44"/>
      <c r="M90" s="44"/>
      <c r="N90" s="43"/>
      <c r="P90" s="2">
        <f t="shared" si="13"/>
        <v>0</v>
      </c>
    </row>
    <row r="91" spans="1:32" x14ac:dyDescent="0.2">
      <c r="A91" s="38"/>
      <c r="B91" s="176" t="s">
        <v>67</v>
      </c>
      <c r="C91" s="45"/>
      <c r="D91" s="48">
        <f>D92+D93+D94+D95+D96</f>
        <v>29.038</v>
      </c>
      <c r="E91" s="48">
        <f>E92+E93+E94+E95+E96</f>
        <v>37.605000000000004</v>
      </c>
      <c r="F91" s="48">
        <f>F92+F93+F94+F95+F96</f>
        <v>96.930260000000004</v>
      </c>
      <c r="G91" s="48">
        <f>G92+G93+G94+G95+G96</f>
        <v>867.35500000000002</v>
      </c>
      <c r="H91" s="48" t="e">
        <f>H92+H93+H94+H95+#REF!+H96</f>
        <v>#REF!</v>
      </c>
      <c r="I91" s="48" t="e">
        <f>I92+I93+I94+I95+#REF!+I96</f>
        <v>#REF!</v>
      </c>
      <c r="J91" s="48" t="e">
        <f>J92+J93+J94+J95+#REF!+J96</f>
        <v>#REF!</v>
      </c>
      <c r="K91" s="48" t="e">
        <f>K92+K93+K94+K95+#REF!+K96</f>
        <v>#REF!</v>
      </c>
      <c r="L91" s="48" t="e">
        <f>L92+L93+L94+L95+#REF!+L96</f>
        <v>#REF!</v>
      </c>
      <c r="M91" s="48" t="e">
        <f>M92+M93+M94+M95+#REF!+M96</f>
        <v>#REF!</v>
      </c>
      <c r="N91" s="48" t="e">
        <f>N92+N93+N94+N95+#REF!+N96</f>
        <v>#REF!</v>
      </c>
      <c r="O91" s="99" t="e">
        <f>O92+O93+O94+O95+#REF!+O96</f>
        <v>#REF!</v>
      </c>
      <c r="P91" s="2">
        <f t="shared" si="13"/>
        <v>867.51169200000004</v>
      </c>
      <c r="Q91" s="89">
        <f>P91-705</f>
        <v>162.51169200000004</v>
      </c>
      <c r="R91" s="2">
        <f>Q91/9</f>
        <v>18.05685466666667</v>
      </c>
    </row>
    <row r="92" spans="1:32" ht="16.5" customHeight="1" x14ac:dyDescent="0.2">
      <c r="A92" s="10" t="s">
        <v>139</v>
      </c>
      <c r="B92" s="69" t="s">
        <v>140</v>
      </c>
      <c r="C92" s="37">
        <v>100</v>
      </c>
      <c r="D92" s="53">
        <f>0.9*1.67</f>
        <v>1.5029999999999999</v>
      </c>
      <c r="E92" s="53">
        <v>0.06</v>
      </c>
      <c r="F92" s="53">
        <f>8.28*1.667</f>
        <v>13.802759999999999</v>
      </c>
      <c r="G92" s="53">
        <v>64.28</v>
      </c>
      <c r="H92" s="30">
        <v>0.02</v>
      </c>
      <c r="I92" s="30">
        <v>2.2999999999999998</v>
      </c>
      <c r="J92" s="30">
        <v>443</v>
      </c>
      <c r="K92" s="30">
        <v>14</v>
      </c>
      <c r="L92" s="30">
        <v>28</v>
      </c>
      <c r="M92" s="30">
        <v>17</v>
      </c>
      <c r="N92" s="30">
        <v>0.45</v>
      </c>
      <c r="O92" s="2">
        <v>9.1999999999999993</v>
      </c>
      <c r="P92" s="2">
        <f t="shared" si="13"/>
        <v>64.824192000000011</v>
      </c>
      <c r="S92" s="100"/>
      <c r="T92" s="101"/>
      <c r="U92" s="102"/>
      <c r="V92" s="102"/>
      <c r="W92" s="102"/>
      <c r="X92" s="102"/>
      <c r="Y92" s="102"/>
      <c r="Z92" s="96"/>
      <c r="AA92" s="96"/>
      <c r="AB92" s="96"/>
      <c r="AC92" s="96"/>
      <c r="AD92" s="96"/>
      <c r="AE92" s="96"/>
      <c r="AF92" s="96"/>
    </row>
    <row r="93" spans="1:32" ht="28.5" customHeight="1" x14ac:dyDescent="0.2">
      <c r="A93" s="28" t="s">
        <v>124</v>
      </c>
      <c r="B93" s="29" t="s">
        <v>159</v>
      </c>
      <c r="C93" s="16">
        <v>250</v>
      </c>
      <c r="D93" s="30">
        <f>3.1*1.25</f>
        <v>3.875</v>
      </c>
      <c r="E93" s="30">
        <f>4.02*1.25</f>
        <v>5.0249999999999995</v>
      </c>
      <c r="F93" s="30">
        <f>16.92*1.25</f>
        <v>21.150000000000002</v>
      </c>
      <c r="G93" s="30">
        <f>120.26*1.25</f>
        <v>150.32500000000002</v>
      </c>
      <c r="H93" s="30" t="s">
        <v>118</v>
      </c>
      <c r="I93" s="30" t="s">
        <v>119</v>
      </c>
      <c r="J93" s="53"/>
      <c r="K93" s="30" t="s">
        <v>120</v>
      </c>
      <c r="L93" s="30" t="s">
        <v>121</v>
      </c>
      <c r="M93" s="30" t="s">
        <v>122</v>
      </c>
      <c r="N93" s="30" t="s">
        <v>123</v>
      </c>
      <c r="O93" s="2">
        <v>11.2</v>
      </c>
      <c r="P93" s="2">
        <f t="shared" si="13"/>
        <v>150.33000000000001</v>
      </c>
      <c r="S93" s="103"/>
      <c r="T93" s="104"/>
      <c r="U93" s="105"/>
      <c r="V93" s="106"/>
      <c r="W93" s="106"/>
      <c r="X93" s="106"/>
      <c r="Y93" s="106"/>
      <c r="Z93" s="106"/>
      <c r="AA93" s="106"/>
      <c r="AB93" s="97"/>
      <c r="AC93" s="106"/>
      <c r="AD93" s="106"/>
      <c r="AE93" s="106"/>
      <c r="AF93" s="96"/>
    </row>
    <row r="94" spans="1:32" x14ac:dyDescent="0.2">
      <c r="A94" s="70">
        <v>218</v>
      </c>
      <c r="B94" s="27" t="s">
        <v>149</v>
      </c>
      <c r="C94" s="37">
        <v>250</v>
      </c>
      <c r="D94" s="57">
        <f>16.48*1.25</f>
        <v>20.6</v>
      </c>
      <c r="E94" s="57">
        <f>25.76*1.25</f>
        <v>32.200000000000003</v>
      </c>
      <c r="F94" s="57">
        <f>10.39*1.25</f>
        <v>12.987500000000001</v>
      </c>
      <c r="G94" s="57">
        <f>345*1.25</f>
        <v>431.25</v>
      </c>
      <c r="H94" s="37">
        <v>0.09</v>
      </c>
      <c r="I94" s="37">
        <v>0.94</v>
      </c>
      <c r="J94" s="37"/>
      <c r="K94" s="37">
        <v>50</v>
      </c>
      <c r="L94" s="37">
        <v>87.8</v>
      </c>
      <c r="M94" s="37">
        <v>18.72</v>
      </c>
      <c r="N94" s="37">
        <v>1.28</v>
      </c>
      <c r="O94" s="2">
        <v>39</v>
      </c>
      <c r="P94" s="2">
        <f t="shared" si="13"/>
        <v>430.86750000000006</v>
      </c>
    </row>
    <row r="95" spans="1:32" ht="24" x14ac:dyDescent="0.2">
      <c r="A95" s="158" t="s">
        <v>40</v>
      </c>
      <c r="B95" s="50" t="s">
        <v>203</v>
      </c>
      <c r="C95" s="37">
        <v>200</v>
      </c>
      <c r="D95" s="57">
        <v>0.02</v>
      </c>
      <c r="E95" s="57"/>
      <c r="F95" s="57">
        <v>29.31</v>
      </c>
      <c r="G95" s="57">
        <v>123.16</v>
      </c>
      <c r="H95" s="37">
        <v>0.15</v>
      </c>
      <c r="I95" s="54">
        <v>21</v>
      </c>
      <c r="J95" s="37"/>
      <c r="K95" s="37">
        <v>14.64</v>
      </c>
      <c r="L95" s="37">
        <v>79.73</v>
      </c>
      <c r="M95" s="37">
        <v>29.33</v>
      </c>
      <c r="N95" s="37">
        <v>1.1599999999999999</v>
      </c>
      <c r="O95" s="2">
        <v>23</v>
      </c>
      <c r="P95" s="2">
        <f t="shared" si="13"/>
        <v>123.18599999999999</v>
      </c>
      <c r="Q95" s="107"/>
      <c r="R95" s="108"/>
      <c r="S95" s="102"/>
      <c r="T95" s="102"/>
      <c r="U95" s="102"/>
      <c r="V95" s="102"/>
      <c r="W95" s="102"/>
      <c r="X95" s="102"/>
      <c r="Y95" s="66"/>
      <c r="Z95" s="102"/>
      <c r="AA95" s="102"/>
      <c r="AB95" s="102"/>
      <c r="AC95" s="102"/>
      <c r="AD95" s="102"/>
    </row>
    <row r="96" spans="1:32" x14ac:dyDescent="0.2">
      <c r="A96" s="28"/>
      <c r="B96" s="39" t="s">
        <v>11</v>
      </c>
      <c r="C96" s="40">
        <v>40</v>
      </c>
      <c r="D96" s="149">
        <v>3.04</v>
      </c>
      <c r="E96" s="150">
        <v>0.32</v>
      </c>
      <c r="F96" s="149">
        <v>19.68</v>
      </c>
      <c r="G96" s="149">
        <v>98.34</v>
      </c>
      <c r="H96" s="30">
        <v>0.04</v>
      </c>
      <c r="I96" s="53"/>
      <c r="J96" s="53"/>
      <c r="K96" s="57">
        <v>7.25</v>
      </c>
      <c r="L96" s="53">
        <v>32.5</v>
      </c>
      <c r="M96" s="53">
        <v>10.5</v>
      </c>
      <c r="N96" s="30">
        <v>0.9</v>
      </c>
      <c r="O96" s="2">
        <v>3</v>
      </c>
      <c r="P96" s="2">
        <f t="shared" si="13"/>
        <v>98.303999999999988</v>
      </c>
    </row>
    <row r="97" spans="1:36" x14ac:dyDescent="0.2">
      <c r="A97" s="28"/>
      <c r="B97" s="27"/>
      <c r="C97" s="72">
        <f>SUM(C92:C96)</f>
        <v>840</v>
      </c>
      <c r="D97" s="57"/>
      <c r="E97" s="30"/>
      <c r="F97" s="57"/>
      <c r="G97" s="57"/>
      <c r="H97" s="30"/>
      <c r="I97" s="53"/>
      <c r="J97" s="53"/>
      <c r="K97" s="57"/>
      <c r="L97" s="53"/>
      <c r="M97" s="53"/>
      <c r="N97" s="30"/>
      <c r="P97" s="2">
        <f t="shared" si="13"/>
        <v>0</v>
      </c>
    </row>
    <row r="98" spans="1:36" x14ac:dyDescent="0.2">
      <c r="A98" s="257" t="s">
        <v>64</v>
      </c>
      <c r="B98" s="262"/>
      <c r="C98" s="258"/>
      <c r="D98" s="63">
        <f t="shared" ref="D98:O98" si="16">D99+D105</f>
        <v>41.026299999999992</v>
      </c>
      <c r="E98" s="63">
        <f t="shared" si="16"/>
        <v>49.897899999999993</v>
      </c>
      <c r="F98" s="63">
        <f t="shared" si="16"/>
        <v>229.96559999999999</v>
      </c>
      <c r="G98" s="63">
        <f>G99+G105</f>
        <v>1613.076</v>
      </c>
      <c r="H98" s="63" t="e">
        <f t="shared" si="16"/>
        <v>#REF!</v>
      </c>
      <c r="I98" s="63" t="e">
        <f t="shared" si="16"/>
        <v>#REF!</v>
      </c>
      <c r="J98" s="63" t="e">
        <f t="shared" si="16"/>
        <v>#REF!</v>
      </c>
      <c r="K98" s="63" t="e">
        <f t="shared" si="16"/>
        <v>#REF!</v>
      </c>
      <c r="L98" s="63" t="e">
        <f t="shared" si="16"/>
        <v>#REF!</v>
      </c>
      <c r="M98" s="63" t="e">
        <f t="shared" si="16"/>
        <v>#REF!</v>
      </c>
      <c r="N98" s="63" t="e">
        <f t="shared" si="16"/>
        <v>#REF!</v>
      </c>
      <c r="O98" s="64" t="e">
        <f t="shared" si="16"/>
        <v>#REF!</v>
      </c>
      <c r="P98" s="2">
        <f t="shared" si="13"/>
        <v>1587.2470799999999</v>
      </c>
    </row>
    <row r="99" spans="1:36" x14ac:dyDescent="0.2">
      <c r="A99" s="109"/>
      <c r="B99" s="173" t="s">
        <v>66</v>
      </c>
      <c r="C99" s="171"/>
      <c r="D99" s="63">
        <f>D100+D101+D102+D103</f>
        <v>19.169699999999999</v>
      </c>
      <c r="E99" s="63">
        <f>E100+E101+E102+E103</f>
        <v>11.3893</v>
      </c>
      <c r="F99" s="63">
        <f>F100+F101+F102+F103</f>
        <v>141.0103</v>
      </c>
      <c r="G99" s="63">
        <f>G100+G101+G102+G103</f>
        <v>776.03099999999995</v>
      </c>
      <c r="H99" s="80" t="e">
        <f>H100+H101+#REF!+H103</f>
        <v>#REF!</v>
      </c>
      <c r="I99" s="80" t="e">
        <f>I100+I101+#REF!+I103</f>
        <v>#REF!</v>
      </c>
      <c r="J99" s="80" t="e">
        <f>J100+J101+#REF!+J103</f>
        <v>#REF!</v>
      </c>
      <c r="K99" s="80" t="e">
        <f>K100+K101+#REF!+K103</f>
        <v>#REF!</v>
      </c>
      <c r="L99" s="80" t="e">
        <f>L100+L101+#REF!+L103</f>
        <v>#REF!</v>
      </c>
      <c r="M99" s="80" t="e">
        <f>M100+M101+#REF!+M103</f>
        <v>#REF!</v>
      </c>
      <c r="N99" s="80" t="e">
        <f>N100+N101+#REF!+N103</f>
        <v>#REF!</v>
      </c>
      <c r="O99" s="110" t="e">
        <f>O100+O101+#REF!+O103</f>
        <v>#REF!</v>
      </c>
      <c r="P99" s="2">
        <f t="shared" si="13"/>
        <v>775.25970000000007</v>
      </c>
    </row>
    <row r="100" spans="1:36" ht="26.25" customHeight="1" x14ac:dyDescent="0.2">
      <c r="A100" s="54" t="s">
        <v>161</v>
      </c>
      <c r="B100" s="29" t="s">
        <v>187</v>
      </c>
      <c r="C100" s="16">
        <v>203</v>
      </c>
      <c r="D100" s="57">
        <v>7.16</v>
      </c>
      <c r="E100" s="57">
        <v>4.66</v>
      </c>
      <c r="F100" s="57">
        <v>40.520000000000003</v>
      </c>
      <c r="G100" s="57">
        <v>242.96</v>
      </c>
      <c r="H100" s="34">
        <v>0.06</v>
      </c>
      <c r="I100" s="34">
        <v>2.82</v>
      </c>
      <c r="J100" s="12"/>
      <c r="K100" s="34">
        <v>14.58</v>
      </c>
      <c r="L100" s="34">
        <v>25.31</v>
      </c>
      <c r="M100" s="34">
        <v>6.62</v>
      </c>
      <c r="N100" s="34">
        <v>1.51</v>
      </c>
      <c r="O100" s="2">
        <v>38</v>
      </c>
      <c r="P100" s="2">
        <f t="shared" si="13"/>
        <v>242.19600000000003</v>
      </c>
      <c r="Q100" s="104"/>
      <c r="R100" s="105"/>
      <c r="S100" s="105"/>
      <c r="T100" s="105"/>
      <c r="U100" s="105"/>
      <c r="V100" s="105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</row>
    <row r="101" spans="1:36" ht="13.5" customHeight="1" x14ac:dyDescent="0.2">
      <c r="A101" s="143" t="s">
        <v>179</v>
      </c>
      <c r="B101" s="50" t="s">
        <v>177</v>
      </c>
      <c r="C101" s="37">
        <v>100</v>
      </c>
      <c r="D101" s="57">
        <f>4.91*1.67</f>
        <v>8.1997</v>
      </c>
      <c r="E101" s="57">
        <f>3.79*1.67</f>
        <v>6.3292999999999999</v>
      </c>
      <c r="F101" s="57">
        <f>36.09*1.67</f>
        <v>60.270300000000006</v>
      </c>
      <c r="G101" s="57">
        <v>344.5</v>
      </c>
      <c r="H101" s="34">
        <v>0.3</v>
      </c>
      <c r="I101" s="12">
        <v>0.15</v>
      </c>
      <c r="J101" s="34">
        <v>21</v>
      </c>
      <c r="K101" s="34">
        <v>15.38</v>
      </c>
      <c r="L101" s="34">
        <v>208.35</v>
      </c>
      <c r="M101" s="34">
        <v>138.65</v>
      </c>
      <c r="N101" s="34">
        <v>4.66</v>
      </c>
      <c r="O101" s="2">
        <v>16</v>
      </c>
      <c r="P101" s="2">
        <f t="shared" si="13"/>
        <v>344.53770000000003</v>
      </c>
      <c r="Q101" s="108"/>
      <c r="R101" s="102"/>
      <c r="S101" s="102"/>
      <c r="T101" s="102"/>
      <c r="U101" s="102"/>
      <c r="V101" s="10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</row>
    <row r="102" spans="1:36" ht="14.25" customHeight="1" x14ac:dyDescent="0.2">
      <c r="A102" s="81">
        <v>323</v>
      </c>
      <c r="B102" s="27" t="s">
        <v>151</v>
      </c>
      <c r="C102" s="37">
        <v>200</v>
      </c>
      <c r="D102" s="57">
        <v>0.01</v>
      </c>
      <c r="E102" s="53"/>
      <c r="F102" s="57">
        <v>15.62</v>
      </c>
      <c r="G102" s="57">
        <v>65.646000000000001</v>
      </c>
      <c r="H102" s="34"/>
      <c r="I102" s="34"/>
      <c r="J102" s="12"/>
      <c r="K102" s="34"/>
      <c r="L102" s="12"/>
      <c r="M102" s="12"/>
      <c r="N102" s="34"/>
      <c r="P102" s="2">
        <f t="shared" si="13"/>
        <v>65.646000000000001</v>
      </c>
      <c r="Q102" s="108"/>
      <c r="R102" s="102"/>
      <c r="S102" s="102"/>
      <c r="T102" s="66"/>
      <c r="U102" s="102"/>
      <c r="V102" s="102"/>
      <c r="W102" s="111"/>
      <c r="X102" s="112"/>
      <c r="Y102" s="112"/>
      <c r="Z102" s="111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</row>
    <row r="103" spans="1:36" ht="14.25" customHeight="1" x14ac:dyDescent="0.2">
      <c r="A103" s="28"/>
      <c r="B103" s="73" t="s">
        <v>11</v>
      </c>
      <c r="C103" s="16">
        <v>50</v>
      </c>
      <c r="D103" s="57">
        <f>3.04*1.25</f>
        <v>3.8</v>
      </c>
      <c r="E103" s="30">
        <f>0.32*1.25</f>
        <v>0.4</v>
      </c>
      <c r="F103" s="57">
        <f>19.68*1.25</f>
        <v>24.6</v>
      </c>
      <c r="G103" s="57">
        <f>98.34*1.25</f>
        <v>122.92500000000001</v>
      </c>
      <c r="H103" s="17">
        <v>0.1</v>
      </c>
      <c r="I103" s="12"/>
      <c r="J103" s="12"/>
      <c r="K103" s="34">
        <v>17.399999999999999</v>
      </c>
      <c r="L103" s="12">
        <v>78</v>
      </c>
      <c r="M103" s="12">
        <v>25.2</v>
      </c>
      <c r="N103" s="17">
        <v>2.16</v>
      </c>
      <c r="O103" s="2">
        <v>3</v>
      </c>
      <c r="P103" s="2">
        <f t="shared" si="13"/>
        <v>122.88000000000001</v>
      </c>
      <c r="Q103" s="108"/>
      <c r="R103" s="95"/>
      <c r="S103" s="102"/>
      <c r="T103" s="95"/>
      <c r="U103" s="102"/>
      <c r="V103" s="102"/>
      <c r="W103" s="113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2"/>
      <c r="AH103" s="111"/>
      <c r="AI103" s="111"/>
      <c r="AJ103" s="113"/>
    </row>
    <row r="104" spans="1:36" ht="18.75" customHeight="1" x14ac:dyDescent="0.2">
      <c r="A104" s="28"/>
      <c r="B104" s="23"/>
      <c r="C104" s="45">
        <f>SUM(C100:C103)</f>
        <v>553</v>
      </c>
      <c r="D104" s="149"/>
      <c r="E104" s="150"/>
      <c r="F104" s="149"/>
      <c r="G104" s="149"/>
      <c r="H104" s="42"/>
      <c r="I104" s="43"/>
      <c r="J104" s="44"/>
      <c r="K104" s="43"/>
      <c r="L104" s="44"/>
      <c r="M104" s="44"/>
      <c r="N104" s="43"/>
      <c r="P104" s="2">
        <f t="shared" si="13"/>
        <v>0</v>
      </c>
      <c r="Q104" s="101"/>
      <c r="R104" s="105"/>
      <c r="S104" s="105"/>
      <c r="T104" s="105"/>
      <c r="U104" s="105"/>
      <c r="V104" s="105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11"/>
    </row>
    <row r="105" spans="1:36" ht="17.25" customHeight="1" x14ac:dyDescent="0.2">
      <c r="A105" s="61"/>
      <c r="B105" s="176" t="s">
        <v>67</v>
      </c>
      <c r="C105" s="47"/>
      <c r="D105" s="48">
        <f>D106+D107+D108+D109+D110+D111</f>
        <v>21.856599999999997</v>
      </c>
      <c r="E105" s="48">
        <f>E106+E107+E108+E109+E110+E111</f>
        <v>38.508599999999994</v>
      </c>
      <c r="F105" s="48">
        <f>F106+F107+F108+F109+F110+F111</f>
        <v>88.955299999999994</v>
      </c>
      <c r="G105" s="48">
        <f>G106+G107+G108+G109+G110+G111</f>
        <v>837.04499999999996</v>
      </c>
      <c r="H105" s="48">
        <v>0.71</v>
      </c>
      <c r="I105" s="48">
        <v>129.11000000000001</v>
      </c>
      <c r="J105" s="48">
        <f>J106+J107+J108+J110+J111</f>
        <v>0</v>
      </c>
      <c r="K105" s="48">
        <v>153.91</v>
      </c>
      <c r="L105" s="48">
        <v>204.2</v>
      </c>
      <c r="M105" s="48">
        <v>74.52</v>
      </c>
      <c r="N105" s="48">
        <v>4.62</v>
      </c>
      <c r="O105" s="99">
        <v>84.3</v>
      </c>
      <c r="P105" s="2">
        <f>(D105+F105)*4.2+E105*9</f>
        <v>811.98738000000003</v>
      </c>
      <c r="Q105" s="101"/>
      <c r="R105" s="105"/>
      <c r="S105" s="105"/>
      <c r="T105" s="105"/>
      <c r="U105" s="105"/>
      <c r="V105" s="105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</row>
    <row r="106" spans="1:36" ht="15" customHeight="1" x14ac:dyDescent="0.2">
      <c r="A106" s="49" t="s">
        <v>173</v>
      </c>
      <c r="B106" s="50" t="s">
        <v>136</v>
      </c>
      <c r="C106" s="51">
        <v>100</v>
      </c>
      <c r="D106" s="57">
        <f>0.94*1.66</f>
        <v>1.5603999999999998</v>
      </c>
      <c r="E106" s="57">
        <f>4.06*1.66</f>
        <v>6.7395999999999994</v>
      </c>
      <c r="F106" s="57">
        <f>5.96*1.66</f>
        <v>9.8935999999999993</v>
      </c>
      <c r="G106" s="57">
        <v>108.76</v>
      </c>
      <c r="H106" s="34">
        <v>0.04</v>
      </c>
      <c r="I106" s="34">
        <v>15</v>
      </c>
      <c r="J106" s="53"/>
      <c r="K106" s="34">
        <v>8.4</v>
      </c>
      <c r="L106" s="34"/>
      <c r="M106" s="34"/>
      <c r="N106" s="34">
        <v>0.54</v>
      </c>
      <c r="O106" s="2">
        <v>10.9</v>
      </c>
      <c r="P106" s="2">
        <f t="shared" si="13"/>
        <v>108.76319999999998</v>
      </c>
      <c r="Q106" s="101"/>
      <c r="R106" s="105"/>
      <c r="S106" s="105"/>
      <c r="T106" s="105"/>
      <c r="U106" s="105"/>
      <c r="V106" s="105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</row>
    <row r="107" spans="1:36" ht="11.25" customHeight="1" x14ac:dyDescent="0.2">
      <c r="A107" s="166" t="s">
        <v>168</v>
      </c>
      <c r="B107" s="79" t="s">
        <v>191</v>
      </c>
      <c r="C107" s="37">
        <v>250</v>
      </c>
      <c r="D107" s="57">
        <f>4.56*1.25</f>
        <v>5.6999999999999993</v>
      </c>
      <c r="E107" s="57">
        <f>6.9*1.25</f>
        <v>8.625</v>
      </c>
      <c r="F107" s="57">
        <f>12.22*1.25</f>
        <v>15.275</v>
      </c>
      <c r="G107" s="57">
        <f>132.58*1.25</f>
        <v>165.72500000000002</v>
      </c>
      <c r="H107" s="76" t="s">
        <v>70</v>
      </c>
      <c r="I107" s="76" t="s">
        <v>107</v>
      </c>
      <c r="J107" s="53"/>
      <c r="K107" s="76" t="s">
        <v>108</v>
      </c>
      <c r="L107" s="76" t="s">
        <v>109</v>
      </c>
      <c r="M107" s="76" t="s">
        <v>110</v>
      </c>
      <c r="N107" s="30" t="s">
        <v>111</v>
      </c>
      <c r="O107" s="114">
        <v>17.600000000000001</v>
      </c>
      <c r="P107" s="2">
        <f t="shared" si="13"/>
        <v>165.72000000000003</v>
      </c>
      <c r="Q107" s="101"/>
      <c r="R107" s="105"/>
      <c r="S107" s="105"/>
      <c r="T107" s="105"/>
      <c r="U107" s="105"/>
      <c r="V107" s="105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</row>
    <row r="108" spans="1:36" ht="14.25" customHeight="1" x14ac:dyDescent="0.2">
      <c r="A108" s="166">
        <v>203</v>
      </c>
      <c r="B108" s="79" t="s">
        <v>181</v>
      </c>
      <c r="C108" s="142">
        <v>100</v>
      </c>
      <c r="D108" s="57">
        <v>9.6300000000000008</v>
      </c>
      <c r="E108" s="57">
        <v>12.61</v>
      </c>
      <c r="F108" s="57">
        <v>8.51</v>
      </c>
      <c r="G108" s="57">
        <v>189.68</v>
      </c>
      <c r="H108" s="34">
        <v>0.46</v>
      </c>
      <c r="I108" s="34">
        <v>1.78</v>
      </c>
      <c r="J108" s="34"/>
      <c r="K108" s="34">
        <v>10.16</v>
      </c>
      <c r="L108" s="34">
        <v>8.5399999999999991</v>
      </c>
      <c r="M108" s="34">
        <v>1.88</v>
      </c>
      <c r="N108" s="34">
        <v>1.1399999999999999</v>
      </c>
      <c r="O108" s="2">
        <v>33</v>
      </c>
      <c r="P108" s="2">
        <f t="shared" si="13"/>
        <v>189.678</v>
      </c>
      <c r="Q108" s="101"/>
      <c r="R108" s="105"/>
      <c r="S108" s="105"/>
      <c r="T108" s="105"/>
      <c r="U108" s="105"/>
      <c r="V108" s="105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</row>
    <row r="109" spans="1:36" ht="14.25" customHeight="1" x14ac:dyDescent="0.2">
      <c r="A109" s="22" t="s">
        <v>34</v>
      </c>
      <c r="B109" s="27" t="s">
        <v>32</v>
      </c>
      <c r="C109" s="37">
        <v>200</v>
      </c>
      <c r="D109" s="57">
        <v>3.26</v>
      </c>
      <c r="E109" s="57">
        <f>7.8*1.33</f>
        <v>10.374000000000001</v>
      </c>
      <c r="F109" s="57">
        <f>21.99*1.33</f>
        <v>29.246700000000001</v>
      </c>
      <c r="G109" s="57">
        <v>234.48</v>
      </c>
      <c r="H109" s="17">
        <v>0.05</v>
      </c>
      <c r="I109" s="17">
        <v>95.18</v>
      </c>
      <c r="J109" s="54"/>
      <c r="K109" s="34">
        <v>104.13</v>
      </c>
      <c r="L109" s="34">
        <v>72.31</v>
      </c>
      <c r="M109" s="34">
        <v>35.840000000000003</v>
      </c>
      <c r="N109" s="34">
        <v>1.44</v>
      </c>
      <c r="O109" s="2">
        <v>17</v>
      </c>
      <c r="P109" s="2">
        <f>(D109+F109)*4.2+E109*9</f>
        <v>229.89413999999999</v>
      </c>
      <c r="Q109" s="101"/>
      <c r="R109" s="105"/>
      <c r="S109" s="105"/>
      <c r="T109" s="105"/>
      <c r="U109" s="105"/>
      <c r="V109" s="105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</row>
    <row r="110" spans="1:36" ht="13.5" customHeight="1" x14ac:dyDescent="0.2">
      <c r="A110" s="165" t="s">
        <v>175</v>
      </c>
      <c r="B110" s="32" t="s">
        <v>90</v>
      </c>
      <c r="C110" s="16">
        <v>200</v>
      </c>
      <c r="D110" s="151">
        <f>0.14*1.33</f>
        <v>0.18620000000000003</v>
      </c>
      <c r="E110" s="151"/>
      <c r="F110" s="30">
        <v>16.190000000000001</v>
      </c>
      <c r="G110" s="30">
        <v>89.23</v>
      </c>
      <c r="H110" s="77">
        <v>0.01</v>
      </c>
      <c r="I110" s="77">
        <v>0.65</v>
      </c>
      <c r="J110" s="78"/>
      <c r="K110" s="34">
        <v>0.47</v>
      </c>
      <c r="L110" s="12"/>
      <c r="M110" s="12"/>
      <c r="N110" s="34">
        <v>0.04</v>
      </c>
      <c r="O110" s="2">
        <v>3</v>
      </c>
      <c r="P110" s="2">
        <v>89</v>
      </c>
      <c r="Q110" s="101"/>
      <c r="R110" s="105"/>
      <c r="S110" s="105"/>
      <c r="T110" s="105"/>
      <c r="U110" s="105"/>
      <c r="V110" s="105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</row>
    <row r="111" spans="1:36" ht="13.5" customHeight="1" x14ac:dyDescent="0.2">
      <c r="A111" s="35"/>
      <c r="B111" s="73" t="s">
        <v>11</v>
      </c>
      <c r="C111" s="16">
        <v>20</v>
      </c>
      <c r="D111" s="57">
        <v>1.52</v>
      </c>
      <c r="E111" s="30">
        <v>0.16</v>
      </c>
      <c r="F111" s="57">
        <v>9.84</v>
      </c>
      <c r="G111" s="57">
        <v>49.17</v>
      </c>
      <c r="H111" s="16">
        <v>0.04</v>
      </c>
      <c r="I111" s="54"/>
      <c r="J111" s="54"/>
      <c r="K111" s="37">
        <v>8</v>
      </c>
      <c r="L111" s="54">
        <v>26</v>
      </c>
      <c r="M111" s="54">
        <v>5.6</v>
      </c>
      <c r="N111" s="16">
        <v>0.44</v>
      </c>
      <c r="O111" s="2">
        <v>2.8</v>
      </c>
      <c r="P111" s="2">
        <f t="shared" si="13"/>
        <v>49.151999999999994</v>
      </c>
      <c r="Q111" s="101"/>
      <c r="R111" s="105"/>
      <c r="S111" s="105"/>
      <c r="T111" s="105"/>
      <c r="U111" s="105"/>
      <c r="V111" s="105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</row>
    <row r="112" spans="1:36" x14ac:dyDescent="0.2">
      <c r="A112" s="115"/>
      <c r="B112" s="116"/>
      <c r="C112" s="140">
        <f>SUM(C106:C111)</f>
        <v>870</v>
      </c>
      <c r="D112" s="57"/>
      <c r="E112" s="30"/>
      <c r="F112" s="57"/>
      <c r="G112" s="57"/>
      <c r="H112" s="17"/>
      <c r="I112" s="12"/>
      <c r="J112" s="12"/>
      <c r="K112" s="34"/>
      <c r="L112" s="12"/>
      <c r="M112" s="12"/>
      <c r="N112" s="17"/>
      <c r="P112" s="2">
        <f t="shared" si="13"/>
        <v>0</v>
      </c>
      <c r="Q112" s="108"/>
      <c r="R112" s="118"/>
      <c r="S112" s="102"/>
      <c r="T112" s="95"/>
      <c r="U112" s="102"/>
      <c r="V112" s="102"/>
      <c r="W112" s="113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2"/>
      <c r="AH112" s="111"/>
      <c r="AI112" s="111"/>
      <c r="AJ112" s="113"/>
    </row>
    <row r="113" spans="1:16" x14ac:dyDescent="0.2">
      <c r="A113" s="84" t="s">
        <v>30</v>
      </c>
      <c r="B113" s="180" t="s">
        <v>13</v>
      </c>
      <c r="C113" s="181"/>
      <c r="D113" s="63">
        <f t="shared" ref="D113:O113" si="17">D114+D120</f>
        <v>46.295540000000003</v>
      </c>
      <c r="E113" s="63">
        <f t="shared" si="17"/>
        <v>60.881160000000001</v>
      </c>
      <c r="F113" s="63">
        <f t="shared" si="17"/>
        <v>209.82178000000002</v>
      </c>
      <c r="G113" s="63">
        <f>G114+G120</f>
        <v>1626.306</v>
      </c>
      <c r="H113" s="63" t="e">
        <f t="shared" si="17"/>
        <v>#REF!</v>
      </c>
      <c r="I113" s="63" t="e">
        <f t="shared" si="17"/>
        <v>#REF!</v>
      </c>
      <c r="J113" s="63" t="e">
        <f t="shared" si="17"/>
        <v>#REF!</v>
      </c>
      <c r="K113" s="63" t="e">
        <f t="shared" si="17"/>
        <v>#REF!</v>
      </c>
      <c r="L113" s="63" t="e">
        <f t="shared" si="17"/>
        <v>#REF!</v>
      </c>
      <c r="M113" s="63" t="e">
        <f t="shared" si="17"/>
        <v>#REF!</v>
      </c>
      <c r="N113" s="63" t="e">
        <f t="shared" si="17"/>
        <v>#REF!</v>
      </c>
      <c r="O113" s="64" t="e">
        <f t="shared" si="17"/>
        <v>#REF!</v>
      </c>
      <c r="P113" s="2">
        <f t="shared" si="13"/>
        <v>1623.623184</v>
      </c>
    </row>
    <row r="114" spans="1:16" x14ac:dyDescent="0.2">
      <c r="A114" s="84"/>
      <c r="B114" s="171" t="s">
        <v>66</v>
      </c>
      <c r="C114" s="171"/>
      <c r="D114" s="63">
        <f>D115+D116+D117+D118</f>
        <v>17.302499999999998</v>
      </c>
      <c r="E114" s="63">
        <f>E115+E116+E117+E118</f>
        <v>13.0875</v>
      </c>
      <c r="F114" s="63">
        <f>F115+F116+F117+F118</f>
        <v>116.45750000000001</v>
      </c>
      <c r="G114" s="63">
        <f>G115+G116+G117+G118</f>
        <v>681.25000000000011</v>
      </c>
      <c r="H114" s="63" t="e">
        <f>H115+H116+H117+H118+#REF!</f>
        <v>#REF!</v>
      </c>
      <c r="I114" s="63" t="e">
        <f>I115+I116+I117+I118+#REF!</f>
        <v>#REF!</v>
      </c>
      <c r="J114" s="63" t="e">
        <f>J115+J116+J117+J118+#REF!</f>
        <v>#REF!</v>
      </c>
      <c r="K114" s="63" t="e">
        <f>K115+K116+K117+K118+#REF!</f>
        <v>#REF!</v>
      </c>
      <c r="L114" s="63" t="e">
        <f>L115+L116+L117+L118+#REF!</f>
        <v>#REF!</v>
      </c>
      <c r="M114" s="63" t="e">
        <f>M115+M116+M117+M118+#REF!</f>
        <v>#REF!</v>
      </c>
      <c r="N114" s="63" t="e">
        <f>N115+N116+N117+N118+#REF!</f>
        <v>#REF!</v>
      </c>
      <c r="O114" s="64" t="e">
        <f>O115+O116+O117+O118+#REF!</f>
        <v>#REF!</v>
      </c>
      <c r="P114" s="2">
        <f t="shared" si="13"/>
        <v>679.57950000000017</v>
      </c>
    </row>
    <row r="115" spans="1:16" ht="24" x14ac:dyDescent="0.2">
      <c r="A115" s="54" t="s">
        <v>161</v>
      </c>
      <c r="B115" s="29" t="s">
        <v>184</v>
      </c>
      <c r="C115" s="16">
        <v>253</v>
      </c>
      <c r="D115" s="57">
        <f>7.81*1.25</f>
        <v>9.7624999999999993</v>
      </c>
      <c r="E115" s="57">
        <f>4.55*1.25</f>
        <v>5.6875</v>
      </c>
      <c r="F115" s="57">
        <f>33.47*1.25</f>
        <v>41.837499999999999</v>
      </c>
      <c r="G115" s="57">
        <v>267.91000000000003</v>
      </c>
      <c r="H115" s="12">
        <v>0.1</v>
      </c>
      <c r="I115" s="12">
        <v>6.03</v>
      </c>
      <c r="J115" s="12">
        <v>92.4</v>
      </c>
      <c r="K115" s="12">
        <v>52.89</v>
      </c>
      <c r="L115" s="12">
        <v>193.68</v>
      </c>
      <c r="M115" s="12">
        <v>44.45</v>
      </c>
      <c r="N115" s="12">
        <v>1.01</v>
      </c>
      <c r="O115" s="2">
        <v>35</v>
      </c>
      <c r="P115" s="2">
        <f t="shared" si="13"/>
        <v>267.90750000000003</v>
      </c>
    </row>
    <row r="116" spans="1:16" x14ac:dyDescent="0.2">
      <c r="A116" s="28"/>
      <c r="B116" s="27" t="s">
        <v>62</v>
      </c>
      <c r="C116" s="37">
        <v>60</v>
      </c>
      <c r="D116" s="57">
        <f>1.5*3</f>
        <v>4.5</v>
      </c>
      <c r="E116" s="53">
        <f>2.36*3</f>
        <v>7.08</v>
      </c>
      <c r="F116" s="57">
        <f>14.98*3</f>
        <v>44.94</v>
      </c>
      <c r="G116" s="57">
        <f>91*3</f>
        <v>273</v>
      </c>
      <c r="H116" s="34">
        <v>0.19</v>
      </c>
      <c r="I116" s="34">
        <v>31.07</v>
      </c>
      <c r="J116" s="34">
        <v>25.2</v>
      </c>
      <c r="K116" s="34">
        <v>49.59</v>
      </c>
      <c r="L116" s="34">
        <v>91.3</v>
      </c>
      <c r="M116" s="34">
        <v>35.39</v>
      </c>
      <c r="N116" s="34">
        <v>1.43</v>
      </c>
      <c r="O116" s="2">
        <v>23</v>
      </c>
      <c r="P116" s="2">
        <f t="shared" si="13"/>
        <v>271.36799999999999</v>
      </c>
    </row>
    <row r="117" spans="1:16" x14ac:dyDescent="0.2">
      <c r="A117" s="33" t="s">
        <v>163</v>
      </c>
      <c r="B117" s="27" t="s">
        <v>10</v>
      </c>
      <c r="C117" s="141">
        <v>200</v>
      </c>
      <c r="D117" s="57">
        <v>0</v>
      </c>
      <c r="E117" s="30">
        <v>0</v>
      </c>
      <c r="F117" s="57">
        <v>10</v>
      </c>
      <c r="G117" s="57">
        <v>42</v>
      </c>
      <c r="H117" s="12"/>
      <c r="I117" s="34">
        <v>2.4</v>
      </c>
      <c r="J117" s="12"/>
      <c r="K117" s="34">
        <v>2.87</v>
      </c>
      <c r="L117" s="34">
        <v>1.32</v>
      </c>
      <c r="M117" s="34">
        <v>0.72</v>
      </c>
      <c r="N117" s="34">
        <v>0.08</v>
      </c>
      <c r="O117" s="2">
        <v>5</v>
      </c>
      <c r="P117" s="2">
        <f t="shared" si="13"/>
        <v>42</v>
      </c>
    </row>
    <row r="118" spans="1:16" x14ac:dyDescent="0.2">
      <c r="A118" s="38"/>
      <c r="B118" s="39" t="s">
        <v>11</v>
      </c>
      <c r="C118" s="144">
        <v>40</v>
      </c>
      <c r="D118" s="149">
        <v>3.04</v>
      </c>
      <c r="E118" s="150">
        <v>0.32</v>
      </c>
      <c r="F118" s="149">
        <v>19.68</v>
      </c>
      <c r="G118" s="149">
        <v>98.34</v>
      </c>
      <c r="H118" s="17">
        <v>0.04</v>
      </c>
      <c r="I118" s="12"/>
      <c r="J118" s="12"/>
      <c r="K118" s="34">
        <v>8</v>
      </c>
      <c r="L118" s="12">
        <v>26</v>
      </c>
      <c r="M118" s="12">
        <v>5.6</v>
      </c>
      <c r="N118" s="17">
        <v>0.44</v>
      </c>
      <c r="O118" s="2">
        <v>2.8</v>
      </c>
      <c r="P118" s="2">
        <f t="shared" si="13"/>
        <v>98.303999999999988</v>
      </c>
    </row>
    <row r="119" spans="1:16" x14ac:dyDescent="0.2">
      <c r="A119" s="35"/>
      <c r="B119" s="27"/>
      <c r="C119" s="145">
        <f>SUM(C115:C118)</f>
        <v>553</v>
      </c>
      <c r="D119" s="57"/>
      <c r="E119" s="30"/>
      <c r="F119" s="57"/>
      <c r="G119" s="57"/>
      <c r="H119" s="17"/>
      <c r="I119" s="12"/>
      <c r="J119" s="12"/>
      <c r="K119" s="34"/>
      <c r="L119" s="12"/>
      <c r="M119" s="12"/>
      <c r="N119" s="17"/>
      <c r="P119" s="2">
        <f t="shared" si="13"/>
        <v>0</v>
      </c>
    </row>
    <row r="120" spans="1:16" x14ac:dyDescent="0.2">
      <c r="A120" s="35"/>
      <c r="B120" s="176" t="s">
        <v>67</v>
      </c>
      <c r="C120" s="117"/>
      <c r="D120" s="63">
        <f>D121+D122+D123+D124+D125+D126</f>
        <v>28.993040000000001</v>
      </c>
      <c r="E120" s="63">
        <f t="shared" ref="E120:O120" si="18">E121+E122+E123+E124+E125+E126</f>
        <v>47.793660000000003</v>
      </c>
      <c r="F120" s="63">
        <f t="shared" si="18"/>
        <v>93.364280000000008</v>
      </c>
      <c r="G120" s="63">
        <f>G121+G122+G123+G124+G125+G126</f>
        <v>945.05600000000004</v>
      </c>
      <c r="H120" s="63">
        <f t="shared" si="18"/>
        <v>0.69000000000000006</v>
      </c>
      <c r="I120" s="63">
        <f t="shared" si="18"/>
        <v>21.71</v>
      </c>
      <c r="J120" s="63">
        <f t="shared" si="18"/>
        <v>0.9</v>
      </c>
      <c r="K120" s="63">
        <f t="shared" si="18"/>
        <v>151.85</v>
      </c>
      <c r="L120" s="63">
        <f t="shared" si="18"/>
        <v>371.56</v>
      </c>
      <c r="M120" s="63">
        <f t="shared" si="18"/>
        <v>129.63</v>
      </c>
      <c r="N120" s="63">
        <f t="shared" si="18"/>
        <v>8.81</v>
      </c>
      <c r="O120" s="64">
        <f t="shared" si="18"/>
        <v>68.8</v>
      </c>
      <c r="P120" s="2">
        <f t="shared" si="13"/>
        <v>944.04368399999998</v>
      </c>
    </row>
    <row r="121" spans="1:16" x14ac:dyDescent="0.2">
      <c r="A121" s="28" t="s">
        <v>68</v>
      </c>
      <c r="B121" s="65" t="s">
        <v>69</v>
      </c>
      <c r="C121" s="54">
        <v>100</v>
      </c>
      <c r="D121" s="97">
        <f>0.84*1.666</f>
        <v>1.3994399999999998</v>
      </c>
      <c r="E121" s="30">
        <f>3.06*1.666</f>
        <v>5.0979599999999996</v>
      </c>
      <c r="F121" s="30">
        <f>6.83*1.666</f>
        <v>11.378779999999999</v>
      </c>
      <c r="G121" s="30">
        <f>59.75*1.666</f>
        <v>99.543499999999995</v>
      </c>
      <c r="H121" s="30">
        <v>0.01</v>
      </c>
      <c r="I121" s="30">
        <v>3.99</v>
      </c>
      <c r="J121" s="30"/>
      <c r="K121" s="30">
        <v>21.28</v>
      </c>
      <c r="L121" s="30">
        <v>24.38</v>
      </c>
      <c r="M121" s="30">
        <v>12.42</v>
      </c>
      <c r="N121" s="30">
        <v>0.79</v>
      </c>
      <c r="O121" s="52">
        <v>7.8</v>
      </c>
      <c r="P121" s="2">
        <f t="shared" si="13"/>
        <v>99.550163999999995</v>
      </c>
    </row>
    <row r="122" spans="1:16" x14ac:dyDescent="0.2">
      <c r="A122" s="28" t="s">
        <v>130</v>
      </c>
      <c r="B122" s="29" t="s">
        <v>200</v>
      </c>
      <c r="C122" s="16">
        <v>250</v>
      </c>
      <c r="D122" s="30">
        <f>6.5*1.25</f>
        <v>8.125</v>
      </c>
      <c r="E122" s="30">
        <f>21.68*1.25</f>
        <v>27.1</v>
      </c>
      <c r="F122" s="30">
        <f>11.56*1.25</f>
        <v>14.450000000000001</v>
      </c>
      <c r="G122" s="30">
        <f>270.97*1.25</f>
        <v>338.71250000000003</v>
      </c>
      <c r="H122" s="30" t="s">
        <v>125</v>
      </c>
      <c r="I122" s="30" t="s">
        <v>107</v>
      </c>
      <c r="J122" s="53"/>
      <c r="K122" s="30" t="s">
        <v>126</v>
      </c>
      <c r="L122" s="30" t="s">
        <v>127</v>
      </c>
      <c r="M122" s="30" t="s">
        <v>128</v>
      </c>
      <c r="N122" s="30" t="s">
        <v>129</v>
      </c>
      <c r="O122" s="2">
        <v>16</v>
      </c>
      <c r="P122" s="2">
        <f t="shared" si="13"/>
        <v>338.71500000000003</v>
      </c>
    </row>
    <row r="123" spans="1:16" x14ac:dyDescent="0.2">
      <c r="A123" s="70" t="s">
        <v>131</v>
      </c>
      <c r="B123" s="27" t="s">
        <v>141</v>
      </c>
      <c r="C123" s="37">
        <v>100</v>
      </c>
      <c r="D123" s="57">
        <f>11.84*1.11</f>
        <v>13.1424</v>
      </c>
      <c r="E123" s="57">
        <f>10.06*1.11</f>
        <v>11.166600000000001</v>
      </c>
      <c r="F123" s="57">
        <f>16.03*1.11</f>
        <v>17.793300000000002</v>
      </c>
      <c r="G123" s="57">
        <f>208*1.11</f>
        <v>230.88000000000002</v>
      </c>
      <c r="H123" s="16">
        <v>0.05</v>
      </c>
      <c r="I123" s="16">
        <v>1.22</v>
      </c>
      <c r="J123" s="54"/>
      <c r="K123" s="16">
        <v>9.8000000000000007</v>
      </c>
      <c r="L123" s="16">
        <v>16.87</v>
      </c>
      <c r="M123" s="16">
        <v>4.54</v>
      </c>
      <c r="N123" s="16">
        <v>1.39</v>
      </c>
      <c r="O123" s="2">
        <v>25</v>
      </c>
      <c r="P123" s="2">
        <f t="shared" si="13"/>
        <v>230.42934000000002</v>
      </c>
    </row>
    <row r="124" spans="1:16" x14ac:dyDescent="0.2">
      <c r="A124" s="28" t="s">
        <v>152</v>
      </c>
      <c r="B124" s="27" t="s">
        <v>153</v>
      </c>
      <c r="C124" s="67">
        <v>200</v>
      </c>
      <c r="D124" s="57">
        <f>3.14*1.33</f>
        <v>4.1762000000000006</v>
      </c>
      <c r="E124" s="30">
        <f>3.27*1.33</f>
        <v>4.3491</v>
      </c>
      <c r="F124" s="57">
        <f>22.34*1.33</f>
        <v>29.712200000000003</v>
      </c>
      <c r="G124" s="57">
        <v>182</v>
      </c>
      <c r="H124" s="17">
        <v>0.44</v>
      </c>
      <c r="I124" s="12"/>
      <c r="J124" s="12">
        <v>0.9</v>
      </c>
      <c r="K124" s="34">
        <v>78</v>
      </c>
      <c r="L124" s="12">
        <v>215</v>
      </c>
      <c r="M124" s="12">
        <v>70</v>
      </c>
      <c r="N124" s="17">
        <v>4.45</v>
      </c>
      <c r="O124" s="2">
        <v>10</v>
      </c>
      <c r="P124" s="2">
        <f t="shared" si="13"/>
        <v>181.47318000000001</v>
      </c>
    </row>
    <row r="125" spans="1:16" x14ac:dyDescent="0.2">
      <c r="A125" s="168" t="s">
        <v>42</v>
      </c>
      <c r="B125" s="50" t="s">
        <v>201</v>
      </c>
      <c r="C125" s="37">
        <v>200</v>
      </c>
      <c r="D125" s="57">
        <f>1.15</f>
        <v>1.1499999999999999</v>
      </c>
      <c r="E125" s="53"/>
      <c r="F125" s="57">
        <v>12.03</v>
      </c>
      <c r="G125" s="57">
        <v>55.4</v>
      </c>
      <c r="H125" s="57">
        <v>0.02</v>
      </c>
      <c r="I125" s="57"/>
      <c r="J125" s="53"/>
      <c r="K125" s="57">
        <v>20.32</v>
      </c>
      <c r="L125" s="57">
        <v>19.36</v>
      </c>
      <c r="M125" s="57">
        <v>8.1199999999999992</v>
      </c>
      <c r="N125" s="57">
        <v>0.45</v>
      </c>
      <c r="O125" s="2">
        <v>7</v>
      </c>
      <c r="P125" s="2">
        <f t="shared" si="13"/>
        <v>55.356000000000002</v>
      </c>
    </row>
    <row r="126" spans="1:16" x14ac:dyDescent="0.2">
      <c r="A126" s="35"/>
      <c r="B126" s="73" t="s">
        <v>37</v>
      </c>
      <c r="C126" s="16">
        <v>20</v>
      </c>
      <c r="D126" s="57">
        <v>1</v>
      </c>
      <c r="E126" s="30">
        <v>0.08</v>
      </c>
      <c r="F126" s="57">
        <v>8</v>
      </c>
      <c r="G126" s="57">
        <v>38.520000000000003</v>
      </c>
      <c r="H126" s="30">
        <v>0.04</v>
      </c>
      <c r="I126" s="53"/>
      <c r="J126" s="53"/>
      <c r="K126" s="57">
        <v>7.25</v>
      </c>
      <c r="L126" s="53">
        <v>32.5</v>
      </c>
      <c r="M126" s="53">
        <v>10.5</v>
      </c>
      <c r="N126" s="30">
        <v>0.9</v>
      </c>
      <c r="O126" s="2">
        <v>3</v>
      </c>
      <c r="P126" s="2">
        <f t="shared" si="13"/>
        <v>38.520000000000003</v>
      </c>
    </row>
    <row r="127" spans="1:16" x14ac:dyDescent="0.2">
      <c r="A127" s="28"/>
      <c r="B127" s="27"/>
      <c r="C127" s="72">
        <f>SUM(C121:C126)</f>
        <v>870</v>
      </c>
      <c r="D127" s="57"/>
      <c r="E127" s="30"/>
      <c r="F127" s="57"/>
      <c r="G127" s="57"/>
      <c r="H127" s="17"/>
      <c r="I127" s="12"/>
      <c r="J127" s="12"/>
      <c r="K127" s="34"/>
      <c r="L127" s="12"/>
      <c r="M127" s="12"/>
      <c r="N127" s="17"/>
      <c r="P127" s="2">
        <f t="shared" si="13"/>
        <v>0</v>
      </c>
    </row>
    <row r="128" spans="1:16" x14ac:dyDescent="0.2">
      <c r="A128" s="84" t="s">
        <v>31</v>
      </c>
      <c r="B128" s="257" t="s">
        <v>13</v>
      </c>
      <c r="C128" s="258"/>
      <c r="D128" s="63">
        <f>D129+D136</f>
        <v>59.393299999999996</v>
      </c>
      <c r="E128" s="63">
        <f t="shared" ref="E128:O128" si="19">E129+E136</f>
        <v>44.860299999999995</v>
      </c>
      <c r="F128" s="63">
        <f t="shared" si="19"/>
        <v>211.2491</v>
      </c>
      <c r="G128" s="63">
        <f>G129+G136</f>
        <v>1540.252</v>
      </c>
      <c r="H128" s="63">
        <f t="shared" si="19"/>
        <v>0.70899999999999996</v>
      </c>
      <c r="I128" s="63">
        <f t="shared" si="19"/>
        <v>50.81</v>
      </c>
      <c r="J128" s="63">
        <f t="shared" si="19"/>
        <v>56.41</v>
      </c>
      <c r="K128" s="63">
        <f t="shared" si="19"/>
        <v>155.64999999999998</v>
      </c>
      <c r="L128" s="63">
        <f t="shared" si="19"/>
        <v>538.96</v>
      </c>
      <c r="M128" s="63">
        <f t="shared" si="19"/>
        <v>102.84</v>
      </c>
      <c r="N128" s="63">
        <f t="shared" si="19"/>
        <v>11.25</v>
      </c>
      <c r="O128" s="64">
        <f t="shared" si="19"/>
        <v>163.9</v>
      </c>
      <c r="P128" s="2">
        <f t="shared" si="13"/>
        <v>1540.4407800000001</v>
      </c>
    </row>
    <row r="129" spans="1:37" x14ac:dyDescent="0.2">
      <c r="A129" s="119"/>
      <c r="B129" s="173" t="s">
        <v>66</v>
      </c>
      <c r="C129" s="172"/>
      <c r="D129" s="63">
        <f>D130+D131+D132+D133+D134</f>
        <v>35.653599999999997</v>
      </c>
      <c r="E129" s="63">
        <f t="shared" ref="E129:O129" si="20">E130+E131+E132+E133+E134</f>
        <v>14.3833</v>
      </c>
      <c r="F129" s="63">
        <f>F130+F131+F132+F133+F134</f>
        <v>83.43</v>
      </c>
      <c r="G129" s="63">
        <f>G130+G131+G132+G133+G134</f>
        <v>629.6869999999999</v>
      </c>
      <c r="H129" s="63">
        <f t="shared" si="20"/>
        <v>0.43</v>
      </c>
      <c r="I129" s="63">
        <f t="shared" si="20"/>
        <v>29.64</v>
      </c>
      <c r="J129" s="63">
        <f t="shared" si="20"/>
        <v>31.21</v>
      </c>
      <c r="K129" s="63">
        <f t="shared" si="20"/>
        <v>66.05</v>
      </c>
      <c r="L129" s="63">
        <f t="shared" si="20"/>
        <v>341.06000000000006</v>
      </c>
      <c r="M129" s="63">
        <f t="shared" si="20"/>
        <v>38.28</v>
      </c>
      <c r="N129" s="63">
        <f t="shared" si="20"/>
        <v>6.6000000000000005</v>
      </c>
      <c r="O129" s="64">
        <f t="shared" si="20"/>
        <v>71.7</v>
      </c>
      <c r="P129" s="2">
        <f t="shared" si="13"/>
        <v>629.60082000000011</v>
      </c>
    </row>
    <row r="130" spans="1:37" ht="16.5" customHeight="1" x14ac:dyDescent="0.2">
      <c r="A130" s="49"/>
      <c r="B130" s="50" t="s">
        <v>154</v>
      </c>
      <c r="C130" s="51">
        <v>40</v>
      </c>
      <c r="D130" s="57">
        <v>5.08</v>
      </c>
      <c r="E130" s="57">
        <v>4.5999999999999996</v>
      </c>
      <c r="F130" s="57">
        <v>0.28000000000000003</v>
      </c>
      <c r="G130" s="57">
        <v>63.911999999999999</v>
      </c>
      <c r="H130" s="34">
        <v>0.05</v>
      </c>
      <c r="I130" s="34">
        <v>4.3</v>
      </c>
      <c r="J130" s="34"/>
      <c r="K130" s="34">
        <v>8.6</v>
      </c>
      <c r="L130" s="34">
        <v>26.66</v>
      </c>
      <c r="M130" s="34">
        <v>9.0299999999999994</v>
      </c>
      <c r="N130" s="34">
        <v>0.3</v>
      </c>
      <c r="O130" s="2">
        <v>23.9</v>
      </c>
      <c r="P130" s="2">
        <f t="shared" si="13"/>
        <v>63.912000000000006</v>
      </c>
    </row>
    <row r="131" spans="1:37" x14ac:dyDescent="0.2">
      <c r="A131" s="54" t="s">
        <v>39</v>
      </c>
      <c r="B131" s="120" t="s">
        <v>155</v>
      </c>
      <c r="C131" s="121">
        <v>160</v>
      </c>
      <c r="D131" s="152">
        <f>18.92*1.33+0.06</f>
        <v>25.223600000000001</v>
      </c>
      <c r="E131" s="152">
        <f>7.01*1.33+0.06</f>
        <v>9.3833000000000002</v>
      </c>
      <c r="F131" s="152">
        <f>15*1.33+16.77</f>
        <v>36.72</v>
      </c>
      <c r="G131" s="152">
        <v>344.61</v>
      </c>
      <c r="H131" s="17">
        <v>0.23</v>
      </c>
      <c r="I131" s="17">
        <v>24.76</v>
      </c>
      <c r="J131" s="12">
        <v>6.01</v>
      </c>
      <c r="K131" s="17">
        <v>18.68</v>
      </c>
      <c r="L131" s="17">
        <v>233.56</v>
      </c>
      <c r="M131" s="17">
        <v>13.8</v>
      </c>
      <c r="N131" s="17">
        <v>5.18</v>
      </c>
      <c r="O131" s="2">
        <v>30</v>
      </c>
      <c r="P131" s="2">
        <f t="shared" si="13"/>
        <v>344.61282000000006</v>
      </c>
    </row>
    <row r="132" spans="1:37" x14ac:dyDescent="0.2">
      <c r="A132" s="90"/>
      <c r="B132" s="91" t="s">
        <v>41</v>
      </c>
      <c r="C132" s="92">
        <v>100</v>
      </c>
      <c r="D132" s="93">
        <v>0.4</v>
      </c>
      <c r="E132" s="93">
        <v>0</v>
      </c>
      <c r="F132" s="93">
        <v>9.8000000000000007</v>
      </c>
      <c r="G132" s="93">
        <v>42.84</v>
      </c>
      <c r="H132" s="34">
        <v>0.1</v>
      </c>
      <c r="I132" s="12"/>
      <c r="J132" s="34">
        <v>25.2</v>
      </c>
      <c r="K132" s="34">
        <v>13.46</v>
      </c>
      <c r="L132" s="34">
        <v>54.84</v>
      </c>
      <c r="M132" s="34">
        <v>9.85</v>
      </c>
      <c r="N132" s="34">
        <v>0.03</v>
      </c>
      <c r="O132" s="2">
        <v>8</v>
      </c>
      <c r="P132" s="2">
        <f t="shared" si="13"/>
        <v>42.84</v>
      </c>
    </row>
    <row r="133" spans="1:37" ht="16.5" customHeight="1" x14ac:dyDescent="0.2">
      <c r="A133" s="56" t="s">
        <v>42</v>
      </c>
      <c r="B133" s="50" t="s">
        <v>201</v>
      </c>
      <c r="C133" s="37">
        <v>200</v>
      </c>
      <c r="D133" s="57">
        <v>1.1499999999999999</v>
      </c>
      <c r="E133" s="53"/>
      <c r="F133" s="57">
        <v>12.03</v>
      </c>
      <c r="G133" s="57">
        <v>55.4</v>
      </c>
      <c r="H133" s="58">
        <v>0.01</v>
      </c>
      <c r="I133" s="58">
        <v>0.57999999999999996</v>
      </c>
      <c r="J133" s="59"/>
      <c r="K133" s="58">
        <v>17.309999999999999</v>
      </c>
      <c r="L133" s="59"/>
      <c r="M133" s="59"/>
      <c r="N133" s="58">
        <v>0.65</v>
      </c>
      <c r="O133" s="2">
        <v>7</v>
      </c>
      <c r="P133" s="2">
        <f t="shared" si="13"/>
        <v>55.356000000000002</v>
      </c>
    </row>
    <row r="134" spans="1:37" x14ac:dyDescent="0.2">
      <c r="A134" s="38"/>
      <c r="B134" s="73" t="s">
        <v>11</v>
      </c>
      <c r="C134" s="16">
        <v>50</v>
      </c>
      <c r="D134" s="57">
        <f>3.04*1.25</f>
        <v>3.8</v>
      </c>
      <c r="E134" s="30">
        <f>0.32*1.25</f>
        <v>0.4</v>
      </c>
      <c r="F134" s="57">
        <f>19.68*1.25</f>
        <v>24.6</v>
      </c>
      <c r="G134" s="57">
        <f>98.34*1.25</f>
        <v>122.92500000000001</v>
      </c>
      <c r="H134" s="17">
        <v>0.04</v>
      </c>
      <c r="I134" s="12"/>
      <c r="J134" s="12"/>
      <c r="K134" s="34">
        <v>8</v>
      </c>
      <c r="L134" s="12">
        <v>26</v>
      </c>
      <c r="M134" s="12">
        <v>5.6</v>
      </c>
      <c r="N134" s="17">
        <v>0.44</v>
      </c>
      <c r="O134" s="2">
        <v>2.8</v>
      </c>
      <c r="P134" s="2">
        <f t="shared" si="13"/>
        <v>122.88000000000001</v>
      </c>
    </row>
    <row r="135" spans="1:37" x14ac:dyDescent="0.2">
      <c r="A135" s="28"/>
      <c r="B135" s="122"/>
      <c r="C135" s="72">
        <f>SUM(C130:C134)</f>
        <v>550</v>
      </c>
      <c r="D135" s="148"/>
      <c r="E135" s="148"/>
      <c r="F135" s="148"/>
      <c r="G135" s="148"/>
      <c r="H135" s="34"/>
      <c r="I135" s="12"/>
      <c r="J135" s="12"/>
      <c r="K135" s="34"/>
      <c r="L135" s="12"/>
      <c r="M135" s="12"/>
      <c r="N135" s="34"/>
      <c r="P135" s="2">
        <f t="shared" si="13"/>
        <v>0</v>
      </c>
    </row>
    <row r="136" spans="1:37" ht="18.75" customHeight="1" x14ac:dyDescent="0.2">
      <c r="A136" s="28"/>
      <c r="B136" s="176" t="s">
        <v>67</v>
      </c>
      <c r="C136" s="72"/>
      <c r="D136" s="63">
        <f>D137+D138+D139+D140+D141+D142</f>
        <v>23.739699999999999</v>
      </c>
      <c r="E136" s="63">
        <f t="shared" ref="E136:O136" si="21">E137+E138+E139+E140+E141+E142</f>
        <v>30.476999999999997</v>
      </c>
      <c r="F136" s="63">
        <f t="shared" si="21"/>
        <v>127.81910000000001</v>
      </c>
      <c r="G136" s="63">
        <f>G137+G138+G139+G140+G141+G142</f>
        <v>910.56499999999994</v>
      </c>
      <c r="H136" s="63">
        <f t="shared" si="21"/>
        <v>0.27899999999999997</v>
      </c>
      <c r="I136" s="63">
        <f t="shared" si="21"/>
        <v>21.17</v>
      </c>
      <c r="J136" s="63">
        <f t="shared" si="21"/>
        <v>25.2</v>
      </c>
      <c r="K136" s="63">
        <f t="shared" si="21"/>
        <v>89.6</v>
      </c>
      <c r="L136" s="63">
        <f t="shared" si="21"/>
        <v>197.9</v>
      </c>
      <c r="M136" s="63">
        <f t="shared" si="21"/>
        <v>64.56</v>
      </c>
      <c r="N136" s="63">
        <f t="shared" si="21"/>
        <v>4.6500000000000004</v>
      </c>
      <c r="O136" s="64">
        <f t="shared" si="21"/>
        <v>92.2</v>
      </c>
      <c r="P136" s="2">
        <f t="shared" si="13"/>
        <v>910.83996000000002</v>
      </c>
    </row>
    <row r="137" spans="1:37" x14ac:dyDescent="0.2">
      <c r="A137" s="28" t="s">
        <v>82</v>
      </c>
      <c r="B137" s="65" t="s">
        <v>83</v>
      </c>
      <c r="C137" s="54">
        <v>100</v>
      </c>
      <c r="D137" s="97">
        <f>1.21*1.67</f>
        <v>2.0206999999999997</v>
      </c>
      <c r="E137" s="30">
        <f>6.2*1.67</f>
        <v>10.353999999999999</v>
      </c>
      <c r="F137" s="30">
        <f>12.33*1.67</f>
        <v>20.591100000000001</v>
      </c>
      <c r="G137" s="30">
        <f>113*1.67</f>
        <v>188.70999999999998</v>
      </c>
      <c r="H137" s="30">
        <v>0.02</v>
      </c>
      <c r="I137" s="30">
        <v>2.5299999999999998</v>
      </c>
      <c r="J137" s="30"/>
      <c r="K137" s="30">
        <v>27.92</v>
      </c>
      <c r="L137" s="30">
        <v>36.549999999999997</v>
      </c>
      <c r="M137" s="30">
        <v>19.350000000000001</v>
      </c>
      <c r="N137" s="30">
        <v>0.6</v>
      </c>
      <c r="O137" s="52">
        <v>10.8</v>
      </c>
      <c r="P137" s="2">
        <f t="shared" ref="P137:P143" si="22">(D137+F137)*4.2+E137*9</f>
        <v>188.15556000000001</v>
      </c>
    </row>
    <row r="138" spans="1:37" ht="24" x14ac:dyDescent="0.2">
      <c r="A138" s="28" t="s">
        <v>124</v>
      </c>
      <c r="B138" s="29" t="s">
        <v>159</v>
      </c>
      <c r="C138" s="16">
        <v>250</v>
      </c>
      <c r="D138" s="30">
        <f>3.1*1.25</f>
        <v>3.875</v>
      </c>
      <c r="E138" s="30">
        <f>4.02*1.25</f>
        <v>5.0249999999999995</v>
      </c>
      <c r="F138" s="30">
        <f>16.92*1.25</f>
        <v>21.150000000000002</v>
      </c>
      <c r="G138" s="30">
        <f>120.26*1.25</f>
        <v>150.32500000000002</v>
      </c>
      <c r="H138" s="30">
        <v>0.13</v>
      </c>
      <c r="I138" s="30">
        <v>16.52</v>
      </c>
      <c r="J138" s="53"/>
      <c r="K138" s="30">
        <v>19.05</v>
      </c>
      <c r="L138" s="30">
        <v>66.5</v>
      </c>
      <c r="M138" s="30">
        <v>26.6</v>
      </c>
      <c r="N138" s="30">
        <v>0.98</v>
      </c>
      <c r="O138" s="2">
        <v>7.6</v>
      </c>
      <c r="P138" s="2">
        <f t="shared" si="22"/>
        <v>150.33000000000001</v>
      </c>
    </row>
    <row r="139" spans="1:37" x14ac:dyDescent="0.2">
      <c r="A139" s="49">
        <v>370</v>
      </c>
      <c r="B139" s="50" t="s">
        <v>138</v>
      </c>
      <c r="C139" s="51">
        <v>115</v>
      </c>
      <c r="D139" s="57">
        <v>6.32</v>
      </c>
      <c r="E139" s="57">
        <v>8.7899999999999991</v>
      </c>
      <c r="F139" s="57">
        <v>19.37</v>
      </c>
      <c r="G139" s="57">
        <v>187.01</v>
      </c>
      <c r="H139" s="34">
        <v>0.08</v>
      </c>
      <c r="I139" s="34">
        <v>0.6</v>
      </c>
      <c r="J139" s="12"/>
      <c r="K139" s="34">
        <v>17.600000000000001</v>
      </c>
      <c r="L139" s="34">
        <v>13.35</v>
      </c>
      <c r="M139" s="34">
        <v>2.94</v>
      </c>
      <c r="N139" s="34">
        <v>2.2599999999999998</v>
      </c>
      <c r="O139" s="2">
        <v>59</v>
      </c>
      <c r="P139" s="2">
        <f t="shared" si="22"/>
        <v>187.00799999999998</v>
      </c>
    </row>
    <row r="140" spans="1:37" x14ac:dyDescent="0.2">
      <c r="A140" s="159" t="s">
        <v>38</v>
      </c>
      <c r="B140" s="32" t="s">
        <v>36</v>
      </c>
      <c r="C140" s="37">
        <v>180</v>
      </c>
      <c r="D140" s="57">
        <f>8.77*1.2</f>
        <v>10.523999999999999</v>
      </c>
      <c r="E140" s="57">
        <f>5.19*1.2</f>
        <v>6.2280000000000006</v>
      </c>
      <c r="F140" s="57">
        <f>39.6*1.23</f>
        <v>48.707999999999998</v>
      </c>
      <c r="G140" s="57">
        <v>304</v>
      </c>
      <c r="H140" s="37"/>
      <c r="I140" s="54"/>
      <c r="J140" s="37">
        <v>25.2</v>
      </c>
      <c r="K140" s="37">
        <v>13.46</v>
      </c>
      <c r="L140" s="37">
        <v>54.84</v>
      </c>
      <c r="M140" s="37">
        <v>9.85</v>
      </c>
      <c r="N140" s="37">
        <v>0.03</v>
      </c>
      <c r="O140" s="2">
        <v>7</v>
      </c>
      <c r="P140" s="2">
        <f t="shared" si="22"/>
        <v>304.82640000000004</v>
      </c>
    </row>
    <row r="141" spans="1:37" x14ac:dyDescent="0.2">
      <c r="A141" s="33" t="s">
        <v>163</v>
      </c>
      <c r="B141" s="23" t="s">
        <v>10</v>
      </c>
      <c r="C141" s="24">
        <v>200</v>
      </c>
      <c r="D141" s="148">
        <v>0</v>
      </c>
      <c r="E141" s="148">
        <v>0</v>
      </c>
      <c r="F141" s="148">
        <v>10</v>
      </c>
      <c r="G141" s="148">
        <v>42</v>
      </c>
      <c r="H141" s="57">
        <v>8.9999999999999993E-3</v>
      </c>
      <c r="I141" s="57">
        <v>1.52</v>
      </c>
      <c r="J141" s="53"/>
      <c r="K141" s="57">
        <v>3.57</v>
      </c>
      <c r="L141" s="57">
        <v>0.66</v>
      </c>
      <c r="M141" s="57">
        <v>0.22</v>
      </c>
      <c r="N141" s="57">
        <v>0.34</v>
      </c>
      <c r="O141" s="2">
        <v>5</v>
      </c>
      <c r="P141" s="2">
        <f t="shared" si="22"/>
        <v>42</v>
      </c>
    </row>
    <row r="142" spans="1:37" ht="12" customHeight="1" x14ac:dyDescent="0.2">
      <c r="A142" s="35"/>
      <c r="B142" s="73" t="s">
        <v>37</v>
      </c>
      <c r="C142" s="16">
        <v>20</v>
      </c>
      <c r="D142" s="57">
        <v>1</v>
      </c>
      <c r="E142" s="30">
        <v>0.08</v>
      </c>
      <c r="F142" s="57">
        <v>8</v>
      </c>
      <c r="G142" s="57">
        <v>38.520000000000003</v>
      </c>
      <c r="H142" s="16">
        <v>0.04</v>
      </c>
      <c r="I142" s="54"/>
      <c r="J142" s="54"/>
      <c r="K142" s="37">
        <v>8</v>
      </c>
      <c r="L142" s="54">
        <v>26</v>
      </c>
      <c r="M142" s="54">
        <v>5.6</v>
      </c>
      <c r="N142" s="16">
        <v>0.44</v>
      </c>
      <c r="O142" s="2">
        <v>2.8</v>
      </c>
      <c r="P142" s="2">
        <f t="shared" si="22"/>
        <v>38.520000000000003</v>
      </c>
    </row>
    <row r="143" spans="1:37" x14ac:dyDescent="0.2">
      <c r="A143" s="123"/>
      <c r="B143" s="27"/>
      <c r="C143" s="74">
        <f>SUM(C137:C142)</f>
        <v>865</v>
      </c>
      <c r="D143" s="57"/>
      <c r="E143" s="30"/>
      <c r="F143" s="57"/>
      <c r="G143" s="57"/>
      <c r="H143" s="16"/>
      <c r="I143" s="54"/>
      <c r="J143" s="54"/>
      <c r="K143" s="37"/>
      <c r="L143" s="54"/>
      <c r="M143" s="54"/>
      <c r="N143" s="16"/>
      <c r="P143" s="2">
        <f t="shared" si="22"/>
        <v>0</v>
      </c>
    </row>
    <row r="144" spans="1:37" x14ac:dyDescent="0.2">
      <c r="A144" s="119" t="s">
        <v>63</v>
      </c>
      <c r="B144" s="262" t="s">
        <v>13</v>
      </c>
      <c r="C144" s="258"/>
      <c r="D144" s="63">
        <f>D145+D152</f>
        <v>49.481899999999996</v>
      </c>
      <c r="E144" s="63">
        <f t="shared" ref="E144:O144" si="23">E145+E152</f>
        <v>51.692700000000002</v>
      </c>
      <c r="F144" s="63">
        <f t="shared" si="23"/>
        <v>188.20190000000002</v>
      </c>
      <c r="G144" s="63">
        <f>G145+G152</f>
        <v>1465.4585000000002</v>
      </c>
      <c r="H144" s="63">
        <f t="shared" si="23"/>
        <v>0.60000000000000009</v>
      </c>
      <c r="I144" s="63">
        <f t="shared" si="23"/>
        <v>71.45</v>
      </c>
      <c r="J144" s="63">
        <f t="shared" si="23"/>
        <v>0.34</v>
      </c>
      <c r="K144" s="63">
        <f t="shared" si="23"/>
        <v>281.49</v>
      </c>
      <c r="L144" s="63">
        <f t="shared" si="23"/>
        <v>332.28</v>
      </c>
      <c r="M144" s="63">
        <f t="shared" si="23"/>
        <v>76.59</v>
      </c>
      <c r="N144" s="63">
        <f t="shared" si="23"/>
        <v>10.55</v>
      </c>
      <c r="O144" s="64">
        <f t="shared" si="23"/>
        <v>160.69999999999999</v>
      </c>
      <c r="P144" s="256"/>
      <c r="Q144" s="256"/>
      <c r="R144" s="256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5"/>
    </row>
    <row r="145" spans="1:37" x14ac:dyDescent="0.2">
      <c r="A145" s="84"/>
      <c r="B145" s="173" t="s">
        <v>66</v>
      </c>
      <c r="C145" s="171"/>
      <c r="D145" s="63">
        <f>D146+D147+D148+D149+D150</f>
        <v>26.381999999999998</v>
      </c>
      <c r="E145" s="63">
        <f>E146+E147+E148+E149+E150</f>
        <v>13.664000000000001</v>
      </c>
      <c r="F145" s="63">
        <f>F146+F147+F148+F149+F150</f>
        <v>87.740000000000009</v>
      </c>
      <c r="G145" s="63">
        <f>G146+G147+G148+G149+G150</f>
        <v>603.101</v>
      </c>
      <c r="H145" s="63">
        <f t="shared" ref="H145:O145" si="24">H146+H147+H148+H150</f>
        <v>0.2</v>
      </c>
      <c r="I145" s="63">
        <f t="shared" si="24"/>
        <v>17.75</v>
      </c>
      <c r="J145" s="63">
        <f t="shared" si="24"/>
        <v>0.34</v>
      </c>
      <c r="K145" s="63">
        <f t="shared" si="24"/>
        <v>158.6</v>
      </c>
      <c r="L145" s="63">
        <f t="shared" si="24"/>
        <v>188.4</v>
      </c>
      <c r="M145" s="63">
        <f t="shared" si="24"/>
        <v>24.8</v>
      </c>
      <c r="N145" s="63">
        <f t="shared" si="24"/>
        <v>5.07</v>
      </c>
      <c r="O145" s="64">
        <f t="shared" si="24"/>
        <v>77.5</v>
      </c>
      <c r="P145" s="174">
        <f>(D145+F145)*4.2+E145*9</f>
        <v>602.28840000000014</v>
      </c>
      <c r="Q145" s="174"/>
      <c r="R145" s="17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5"/>
    </row>
    <row r="146" spans="1:37" x14ac:dyDescent="0.2">
      <c r="A146" s="22">
        <v>110</v>
      </c>
      <c r="B146" s="27" t="s">
        <v>156</v>
      </c>
      <c r="C146" s="37">
        <v>100</v>
      </c>
      <c r="D146" s="57">
        <v>17.829999999999998</v>
      </c>
      <c r="E146" s="57">
        <v>7.99</v>
      </c>
      <c r="F146" s="57">
        <v>4.25</v>
      </c>
      <c r="G146" s="57">
        <v>165</v>
      </c>
      <c r="H146" s="37">
        <v>0.11</v>
      </c>
      <c r="I146" s="126">
        <v>1.75</v>
      </c>
      <c r="J146" s="37">
        <v>0.34</v>
      </c>
      <c r="K146" s="37">
        <v>124.93</v>
      </c>
      <c r="L146" s="37">
        <v>188.4</v>
      </c>
      <c r="M146" s="37">
        <v>24.8</v>
      </c>
      <c r="N146" s="37">
        <v>1.03</v>
      </c>
      <c r="O146" s="2">
        <v>49</v>
      </c>
      <c r="P146" s="174">
        <f t="shared" ref="P146:P160" si="25">(D146+F146)*4.2+E146*9</f>
        <v>164.64599999999999</v>
      </c>
      <c r="Q146" s="108"/>
      <c r="R146" s="102"/>
      <c r="S146" s="102"/>
      <c r="T146" s="102"/>
      <c r="U146" s="102"/>
      <c r="V146" s="102"/>
      <c r="W146" s="112"/>
      <c r="X146" s="112"/>
      <c r="Y146" s="112"/>
      <c r="Z146" s="111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</row>
    <row r="147" spans="1:37" x14ac:dyDescent="0.2">
      <c r="A147" s="157" t="s">
        <v>170</v>
      </c>
      <c r="B147" s="32" t="s">
        <v>150</v>
      </c>
      <c r="C147" s="37">
        <v>180</v>
      </c>
      <c r="D147" s="57">
        <f>3.81*1.2</f>
        <v>4.5720000000000001</v>
      </c>
      <c r="E147" s="57">
        <f>2.72*1.2</f>
        <v>3.2640000000000002</v>
      </c>
      <c r="F147" s="57">
        <f>40*1.2</f>
        <v>48</v>
      </c>
      <c r="G147" s="57">
        <f>208.48*1.2</f>
        <v>250.17599999999999</v>
      </c>
      <c r="H147" s="12"/>
      <c r="I147" s="12"/>
      <c r="J147" s="12"/>
      <c r="K147" s="37">
        <v>0.47</v>
      </c>
      <c r="L147" s="10"/>
      <c r="M147" s="10"/>
      <c r="N147" s="37">
        <v>0.04</v>
      </c>
      <c r="O147" s="2">
        <v>2.5</v>
      </c>
      <c r="P147" s="174">
        <f t="shared" si="25"/>
        <v>250.17840000000004</v>
      </c>
      <c r="Q147" s="127"/>
      <c r="R147" s="102"/>
      <c r="S147" s="102"/>
      <c r="T147" s="102"/>
      <c r="U147" s="102"/>
      <c r="V147" s="102"/>
      <c r="W147" s="112"/>
      <c r="X147" s="111"/>
      <c r="Y147" s="111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</row>
    <row r="148" spans="1:37" x14ac:dyDescent="0.2">
      <c r="A148" s="35" t="s">
        <v>172</v>
      </c>
      <c r="B148" s="27" t="s">
        <v>157</v>
      </c>
      <c r="C148" s="16">
        <v>20</v>
      </c>
      <c r="D148" s="57">
        <v>0.18</v>
      </c>
      <c r="E148" s="30">
        <v>2.0099999999999998</v>
      </c>
      <c r="F148" s="57">
        <v>0.89</v>
      </c>
      <c r="G148" s="57">
        <v>23</v>
      </c>
      <c r="H148" s="17">
        <v>0.04</v>
      </c>
      <c r="I148" s="12"/>
      <c r="J148" s="12"/>
      <c r="K148" s="37">
        <v>7.6</v>
      </c>
      <c r="L148" s="10"/>
      <c r="M148" s="10"/>
      <c r="N148" s="16">
        <v>0.48</v>
      </c>
      <c r="O148" s="2">
        <v>4</v>
      </c>
      <c r="P148" s="174">
        <f t="shared" si="25"/>
        <v>22.583999999999996</v>
      </c>
      <c r="Q148" s="108"/>
      <c r="R148" s="102"/>
      <c r="S148" s="102"/>
      <c r="T148" s="66"/>
      <c r="U148" s="102"/>
      <c r="V148" s="102"/>
      <c r="W148" s="112"/>
      <c r="X148" s="112"/>
      <c r="Y148" s="112"/>
      <c r="Z148" s="111"/>
      <c r="AA148" s="111"/>
      <c r="AB148" s="111"/>
      <c r="AC148" s="111"/>
      <c r="AD148" s="111"/>
      <c r="AE148" s="111"/>
      <c r="AF148" s="111"/>
      <c r="AG148" s="112"/>
      <c r="AH148" s="111"/>
      <c r="AI148" s="111"/>
      <c r="AJ148" s="112"/>
    </row>
    <row r="149" spans="1:37" x14ac:dyDescent="0.2">
      <c r="A149" s="33" t="s">
        <v>163</v>
      </c>
      <c r="B149" s="27" t="s">
        <v>10</v>
      </c>
      <c r="C149" s="36">
        <v>200</v>
      </c>
      <c r="D149" s="57">
        <v>0</v>
      </c>
      <c r="E149" s="30">
        <v>0</v>
      </c>
      <c r="F149" s="57">
        <v>10</v>
      </c>
      <c r="G149" s="57">
        <v>42</v>
      </c>
      <c r="H149" s="17"/>
      <c r="I149" s="12"/>
      <c r="J149" s="12"/>
      <c r="K149" s="37"/>
      <c r="L149" s="10"/>
      <c r="M149" s="10"/>
      <c r="N149" s="16"/>
      <c r="P149" s="174">
        <f t="shared" si="25"/>
        <v>42</v>
      </c>
      <c r="Q149" s="108"/>
      <c r="R149" s="102"/>
      <c r="S149" s="102"/>
      <c r="T149" s="66"/>
      <c r="U149" s="102"/>
      <c r="V149" s="102"/>
      <c r="W149" s="112"/>
      <c r="X149" s="112"/>
      <c r="Y149" s="112"/>
      <c r="Z149" s="111"/>
      <c r="AA149" s="111"/>
      <c r="AB149" s="111"/>
      <c r="AC149" s="111"/>
      <c r="AD149" s="111"/>
      <c r="AE149" s="111"/>
      <c r="AF149" s="111"/>
      <c r="AG149" s="112"/>
      <c r="AH149" s="111"/>
      <c r="AI149" s="111"/>
      <c r="AJ149" s="112"/>
    </row>
    <row r="150" spans="1:37" x14ac:dyDescent="0.2">
      <c r="A150" s="38"/>
      <c r="B150" s="73" t="s">
        <v>11</v>
      </c>
      <c r="C150" s="16">
        <v>50</v>
      </c>
      <c r="D150" s="57">
        <f>3.04*1.25</f>
        <v>3.8</v>
      </c>
      <c r="E150" s="30">
        <f>0.32*1.25</f>
        <v>0.4</v>
      </c>
      <c r="F150" s="57">
        <f>19.68*1.25</f>
        <v>24.6</v>
      </c>
      <c r="G150" s="57">
        <f>98.34*1.25</f>
        <v>122.92500000000001</v>
      </c>
      <c r="H150" s="42">
        <v>0.05</v>
      </c>
      <c r="I150" s="43">
        <v>16</v>
      </c>
      <c r="J150" s="44"/>
      <c r="K150" s="128">
        <v>25.6</v>
      </c>
      <c r="L150" s="129"/>
      <c r="M150" s="129"/>
      <c r="N150" s="128">
        <v>3.52</v>
      </c>
      <c r="O150" s="2">
        <v>22</v>
      </c>
      <c r="P150" s="174">
        <f t="shared" si="25"/>
        <v>122.88000000000001</v>
      </c>
      <c r="Q150" s="108"/>
      <c r="R150" s="95"/>
      <c r="S150" s="102"/>
      <c r="T150" s="95"/>
      <c r="U150" s="102"/>
      <c r="V150" s="102"/>
      <c r="W150" s="113"/>
      <c r="X150" s="111"/>
      <c r="Y150" s="111"/>
      <c r="Z150" s="111"/>
      <c r="AA150" s="111"/>
      <c r="AB150" s="111"/>
      <c r="AC150" s="111"/>
      <c r="AD150" s="111"/>
      <c r="AE150" s="111"/>
      <c r="AF150" s="111"/>
      <c r="AG150" s="112"/>
      <c r="AH150" s="111"/>
      <c r="AI150" s="111"/>
      <c r="AJ150" s="113"/>
    </row>
    <row r="151" spans="1:37" x14ac:dyDescent="0.2">
      <c r="A151" s="28"/>
      <c r="B151" s="27"/>
      <c r="C151" s="140">
        <f>SUM(C146:C150)</f>
        <v>550</v>
      </c>
      <c r="D151" s="57"/>
      <c r="E151" s="30"/>
      <c r="F151" s="57"/>
      <c r="G151" s="57"/>
      <c r="H151" s="17"/>
      <c r="I151" s="12"/>
      <c r="J151" s="12"/>
      <c r="K151" s="34"/>
      <c r="L151" s="12"/>
      <c r="M151" s="12"/>
      <c r="N151" s="17"/>
      <c r="P151" s="174">
        <f t="shared" si="25"/>
        <v>0</v>
      </c>
      <c r="Q151" s="130"/>
      <c r="R151" s="131"/>
      <c r="S151" s="132"/>
      <c r="T151" s="133"/>
      <c r="U151" s="132"/>
      <c r="V151" s="132"/>
      <c r="W151" s="134"/>
      <c r="X151" s="135"/>
      <c r="Y151" s="135"/>
      <c r="Z151" s="136"/>
      <c r="AA151" s="136"/>
      <c r="AB151" s="136"/>
      <c r="AC151" s="136"/>
      <c r="AD151" s="136"/>
      <c r="AE151" s="136"/>
      <c r="AF151" s="136"/>
      <c r="AG151" s="135"/>
      <c r="AH151" s="136"/>
      <c r="AI151" s="136"/>
      <c r="AJ151" s="135"/>
    </row>
    <row r="152" spans="1:37" x14ac:dyDescent="0.2">
      <c r="A152" s="28"/>
      <c r="B152" s="176" t="s">
        <v>67</v>
      </c>
      <c r="C152" s="72"/>
      <c r="D152" s="63">
        <f>D153+D154+D155+D156+D157+D158</f>
        <v>23.099899999999998</v>
      </c>
      <c r="E152" s="63">
        <f t="shared" ref="E152:O152" si="26">E153+E154+E155+E156+E157+E158</f>
        <v>38.028700000000001</v>
      </c>
      <c r="F152" s="63">
        <f t="shared" si="26"/>
        <v>100.46190000000001</v>
      </c>
      <c r="G152" s="63">
        <f>G153+G154+G155+G156+G157+G158</f>
        <v>862.35750000000007</v>
      </c>
      <c r="H152" s="63">
        <f t="shared" si="26"/>
        <v>0.4</v>
      </c>
      <c r="I152" s="63">
        <f t="shared" si="26"/>
        <v>53.7</v>
      </c>
      <c r="J152" s="63">
        <f t="shared" si="26"/>
        <v>0</v>
      </c>
      <c r="K152" s="63">
        <f t="shared" si="26"/>
        <v>122.88999999999999</v>
      </c>
      <c r="L152" s="63">
        <f t="shared" si="26"/>
        <v>143.88</v>
      </c>
      <c r="M152" s="63">
        <f t="shared" si="26"/>
        <v>51.79</v>
      </c>
      <c r="N152" s="63">
        <f t="shared" si="26"/>
        <v>5.4800000000000013</v>
      </c>
      <c r="O152" s="64">
        <f t="shared" si="26"/>
        <v>83.2</v>
      </c>
      <c r="P152" s="174">
        <f t="shared" si="25"/>
        <v>861.21785999999997</v>
      </c>
      <c r="Q152" s="130"/>
      <c r="R152" s="131"/>
      <c r="S152" s="132"/>
      <c r="T152" s="133"/>
      <c r="U152" s="132"/>
      <c r="V152" s="132"/>
      <c r="W152" s="134"/>
      <c r="X152" s="135"/>
      <c r="Y152" s="135"/>
      <c r="Z152" s="136"/>
      <c r="AA152" s="136"/>
      <c r="AB152" s="136"/>
      <c r="AC152" s="136"/>
      <c r="AD152" s="136"/>
      <c r="AE152" s="136"/>
      <c r="AF152" s="136"/>
      <c r="AG152" s="135"/>
      <c r="AH152" s="136"/>
      <c r="AI152" s="136"/>
      <c r="AJ152" s="135"/>
    </row>
    <row r="153" spans="1:37" x14ac:dyDescent="0.2">
      <c r="A153" s="167" t="s">
        <v>174</v>
      </c>
      <c r="B153" s="75" t="s">
        <v>142</v>
      </c>
      <c r="C153" s="54">
        <v>100</v>
      </c>
      <c r="D153" s="76">
        <f>0.74*1.66</f>
        <v>1.2283999999999999</v>
      </c>
      <c r="E153" s="76">
        <f>0.06*1.67</f>
        <v>0.1002</v>
      </c>
      <c r="F153" s="76">
        <f>6.92*1.67</f>
        <v>11.5564</v>
      </c>
      <c r="G153" s="76">
        <f>33*1.67</f>
        <v>55.11</v>
      </c>
      <c r="H153" s="34">
        <v>0.04</v>
      </c>
      <c r="I153" s="34">
        <v>15</v>
      </c>
      <c r="J153" s="53"/>
      <c r="K153" s="34">
        <v>8.4</v>
      </c>
      <c r="L153" s="34"/>
      <c r="M153" s="34"/>
      <c r="N153" s="34">
        <v>0.54</v>
      </c>
      <c r="O153" s="2">
        <v>10.9</v>
      </c>
      <c r="P153" s="174">
        <f t="shared" si="25"/>
        <v>54.597960000000008</v>
      </c>
      <c r="Q153" s="130"/>
      <c r="R153" s="131"/>
      <c r="S153" s="132"/>
      <c r="T153" s="133"/>
      <c r="U153" s="132"/>
      <c r="V153" s="132"/>
      <c r="W153" s="134"/>
      <c r="X153" s="135"/>
      <c r="Y153" s="135"/>
      <c r="Z153" s="136"/>
      <c r="AA153" s="136"/>
      <c r="AB153" s="136"/>
      <c r="AC153" s="136"/>
      <c r="AD153" s="136"/>
      <c r="AE153" s="136"/>
      <c r="AF153" s="136"/>
      <c r="AG153" s="135"/>
      <c r="AH153" s="136"/>
      <c r="AI153" s="136"/>
      <c r="AJ153" s="135"/>
    </row>
    <row r="154" spans="1:37" x14ac:dyDescent="0.2">
      <c r="A154" s="160" t="s">
        <v>101</v>
      </c>
      <c r="B154" s="29" t="s">
        <v>193</v>
      </c>
      <c r="C154" s="16">
        <v>250</v>
      </c>
      <c r="D154" s="30">
        <f>4.91*1.25</f>
        <v>6.1375000000000002</v>
      </c>
      <c r="E154" s="30">
        <f>11.01*1.25</f>
        <v>13.762499999999999</v>
      </c>
      <c r="F154" s="30">
        <f>15.43*1.25</f>
        <v>19.287500000000001</v>
      </c>
      <c r="G154" s="30">
        <f>184.83*1.25</f>
        <v>231.03750000000002</v>
      </c>
      <c r="H154" s="30" t="s">
        <v>45</v>
      </c>
      <c r="I154" s="30" t="s">
        <v>102</v>
      </c>
      <c r="J154" s="53"/>
      <c r="K154" s="30" t="s">
        <v>103</v>
      </c>
      <c r="L154" s="30" t="s">
        <v>104</v>
      </c>
      <c r="M154" s="30" t="s">
        <v>105</v>
      </c>
      <c r="N154" s="30" t="s">
        <v>106</v>
      </c>
      <c r="O154" s="2">
        <v>9.6</v>
      </c>
      <c r="P154" s="174">
        <f t="shared" si="25"/>
        <v>230.64750000000001</v>
      </c>
      <c r="Q154" s="130"/>
      <c r="R154" s="131"/>
      <c r="S154" s="132"/>
      <c r="T154" s="133"/>
      <c r="U154" s="132"/>
      <c r="V154" s="132"/>
      <c r="W154" s="134"/>
      <c r="X154" s="135"/>
      <c r="Y154" s="135"/>
      <c r="Z154" s="136"/>
      <c r="AA154" s="136"/>
      <c r="AB154" s="136"/>
      <c r="AC154" s="136"/>
      <c r="AD154" s="136"/>
      <c r="AE154" s="136"/>
      <c r="AF154" s="136"/>
      <c r="AG154" s="135"/>
      <c r="AH154" s="136"/>
      <c r="AI154" s="136"/>
      <c r="AJ154" s="135"/>
    </row>
    <row r="155" spans="1:37" x14ac:dyDescent="0.2">
      <c r="A155" s="28">
        <v>298</v>
      </c>
      <c r="B155" s="29" t="s">
        <v>144</v>
      </c>
      <c r="C155" s="16">
        <v>105</v>
      </c>
      <c r="D155" s="30">
        <v>6.14</v>
      </c>
      <c r="E155" s="30">
        <v>11.91</v>
      </c>
      <c r="F155" s="30">
        <v>10.92</v>
      </c>
      <c r="G155" s="30">
        <v>178.84</v>
      </c>
      <c r="H155" s="30" t="s">
        <v>84</v>
      </c>
      <c r="I155" s="30" t="s">
        <v>112</v>
      </c>
      <c r="J155" s="53"/>
      <c r="K155" s="30" t="s">
        <v>113</v>
      </c>
      <c r="L155" s="30" t="s">
        <v>114</v>
      </c>
      <c r="M155" s="30" t="s">
        <v>115</v>
      </c>
      <c r="N155" s="30" t="s">
        <v>116</v>
      </c>
      <c r="O155" s="2">
        <v>35.700000000000003</v>
      </c>
      <c r="P155" s="174">
        <f t="shared" si="25"/>
        <v>178.84199999999998</v>
      </c>
      <c r="Q155" s="130"/>
      <c r="R155" s="131"/>
      <c r="S155" s="132"/>
      <c r="T155" s="133"/>
      <c r="U155" s="132"/>
      <c r="V155" s="132"/>
      <c r="W155" s="134"/>
      <c r="X155" s="135"/>
      <c r="Y155" s="135"/>
      <c r="Z155" s="136"/>
      <c r="AA155" s="136"/>
      <c r="AB155" s="136"/>
      <c r="AC155" s="136"/>
      <c r="AD155" s="136"/>
      <c r="AE155" s="136"/>
      <c r="AF155" s="136"/>
      <c r="AG155" s="135"/>
      <c r="AH155" s="136"/>
      <c r="AI155" s="136"/>
      <c r="AJ155" s="135"/>
    </row>
    <row r="156" spans="1:37" x14ac:dyDescent="0.2">
      <c r="A156" s="70" t="s">
        <v>132</v>
      </c>
      <c r="B156" s="27" t="s">
        <v>133</v>
      </c>
      <c r="C156" s="37">
        <v>180</v>
      </c>
      <c r="D156" s="57">
        <f>5.77*1.2</f>
        <v>6.9239999999999995</v>
      </c>
      <c r="E156" s="57">
        <f>10.08*1.2</f>
        <v>12.096</v>
      </c>
      <c r="F156" s="57">
        <f>30.69*1.2</f>
        <v>36.828000000000003</v>
      </c>
      <c r="G156" s="57">
        <f>244*1.2</f>
        <v>292.8</v>
      </c>
      <c r="H156" s="37">
        <v>0.08</v>
      </c>
      <c r="I156" s="37">
        <v>17.8</v>
      </c>
      <c r="J156" s="54"/>
      <c r="K156" s="37">
        <v>53.08</v>
      </c>
      <c r="L156" s="37">
        <v>64.28</v>
      </c>
      <c r="M156" s="37">
        <v>23.23</v>
      </c>
      <c r="N156" s="37">
        <v>0.86</v>
      </c>
      <c r="O156" s="2">
        <v>17</v>
      </c>
      <c r="P156" s="174">
        <f t="shared" si="25"/>
        <v>292.62240000000003</v>
      </c>
      <c r="Q156" s="130"/>
      <c r="R156" s="131"/>
      <c r="S156" s="132"/>
      <c r="T156" s="133"/>
      <c r="U156" s="132"/>
      <c r="V156" s="132"/>
      <c r="W156" s="134"/>
      <c r="X156" s="135"/>
      <c r="Y156" s="135"/>
      <c r="Z156" s="136"/>
      <c r="AA156" s="136"/>
      <c r="AB156" s="136"/>
      <c r="AC156" s="136"/>
      <c r="AD156" s="136"/>
      <c r="AE156" s="136"/>
      <c r="AF156" s="136"/>
      <c r="AG156" s="135"/>
      <c r="AH156" s="136"/>
      <c r="AI156" s="136"/>
      <c r="AJ156" s="135"/>
    </row>
    <row r="157" spans="1:37" ht="17.25" customHeight="1" x14ac:dyDescent="0.2">
      <c r="A157" s="81" t="s">
        <v>42</v>
      </c>
      <c r="B157" s="50" t="s">
        <v>201</v>
      </c>
      <c r="C157" s="37">
        <v>200</v>
      </c>
      <c r="D157" s="57">
        <v>1.1499999999999999</v>
      </c>
      <c r="E157" s="82"/>
      <c r="F157" s="57">
        <v>12.03</v>
      </c>
      <c r="G157" s="57">
        <v>55.4</v>
      </c>
      <c r="H157" s="30" t="s">
        <v>91</v>
      </c>
      <c r="I157" s="57" t="s">
        <v>92</v>
      </c>
      <c r="J157" s="53"/>
      <c r="K157" s="57" t="s">
        <v>93</v>
      </c>
      <c r="L157" s="53"/>
      <c r="M157" s="53"/>
      <c r="N157" s="30" t="s">
        <v>94</v>
      </c>
      <c r="O157" s="2">
        <v>7</v>
      </c>
      <c r="P157" s="174">
        <f t="shared" si="25"/>
        <v>55.356000000000002</v>
      </c>
      <c r="Q157" s="130"/>
      <c r="R157" s="131"/>
      <c r="S157" s="132"/>
      <c r="T157" s="133"/>
      <c r="U157" s="132"/>
      <c r="V157" s="132"/>
      <c r="W157" s="134"/>
      <c r="X157" s="135"/>
      <c r="Y157" s="135"/>
      <c r="Z157" s="136"/>
      <c r="AA157" s="136"/>
      <c r="AB157" s="136"/>
      <c r="AC157" s="136"/>
      <c r="AD157" s="136"/>
      <c r="AE157" s="136"/>
      <c r="AF157" s="136"/>
      <c r="AG157" s="135"/>
      <c r="AH157" s="136"/>
      <c r="AI157" s="136"/>
      <c r="AJ157" s="135"/>
    </row>
    <row r="158" spans="1:37" x14ac:dyDescent="0.2">
      <c r="A158" s="35"/>
      <c r="B158" s="73" t="s">
        <v>11</v>
      </c>
      <c r="C158" s="16">
        <v>20</v>
      </c>
      <c r="D158" s="57">
        <v>1.52</v>
      </c>
      <c r="E158" s="30">
        <v>0.16</v>
      </c>
      <c r="F158" s="57">
        <v>9.84</v>
      </c>
      <c r="G158" s="57">
        <v>49.17</v>
      </c>
      <c r="H158" s="30">
        <v>0.04</v>
      </c>
      <c r="I158" s="53"/>
      <c r="J158" s="53"/>
      <c r="K158" s="57">
        <v>7.25</v>
      </c>
      <c r="L158" s="53">
        <v>32.5</v>
      </c>
      <c r="M158" s="53">
        <v>10.5</v>
      </c>
      <c r="N158" s="30">
        <v>0.9</v>
      </c>
      <c r="O158" s="2">
        <v>3</v>
      </c>
      <c r="P158" s="174">
        <f t="shared" si="25"/>
        <v>49.151999999999994</v>
      </c>
      <c r="Q158" s="130"/>
      <c r="R158" s="131"/>
      <c r="S158" s="132"/>
      <c r="T158" s="133"/>
      <c r="U158" s="132"/>
      <c r="V158" s="132"/>
      <c r="W158" s="134"/>
      <c r="X158" s="135"/>
      <c r="Y158" s="135"/>
      <c r="Z158" s="136"/>
      <c r="AA158" s="136"/>
      <c r="AB158" s="136"/>
      <c r="AC158" s="136"/>
      <c r="AD158" s="136"/>
      <c r="AE158" s="136"/>
      <c r="AF158" s="136"/>
      <c r="AG158" s="135"/>
      <c r="AH158" s="136"/>
      <c r="AI158" s="136"/>
      <c r="AJ158" s="135"/>
    </row>
    <row r="159" spans="1:37" x14ac:dyDescent="0.2">
      <c r="A159" s="28"/>
      <c r="B159" s="137"/>
      <c r="C159" s="138">
        <f>SUM(C153:C158)</f>
        <v>855</v>
      </c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P159" s="174">
        <f t="shared" si="25"/>
        <v>0</v>
      </c>
      <c r="Q159" s="130"/>
      <c r="R159" s="131"/>
      <c r="S159" s="132"/>
      <c r="T159" s="133"/>
      <c r="U159" s="132"/>
      <c r="V159" s="132"/>
      <c r="W159" s="134"/>
      <c r="X159" s="135"/>
      <c r="Y159" s="135"/>
      <c r="Z159" s="136"/>
      <c r="AA159" s="136"/>
      <c r="AB159" s="136"/>
      <c r="AC159" s="136"/>
      <c r="AD159" s="136"/>
      <c r="AE159" s="136"/>
      <c r="AF159" s="136"/>
      <c r="AG159" s="135"/>
      <c r="AH159" s="136"/>
      <c r="AI159" s="136"/>
      <c r="AJ159" s="135"/>
    </row>
    <row r="160" spans="1:37" x14ac:dyDescent="0.2">
      <c r="A160" s="28"/>
      <c r="B160" s="27"/>
      <c r="C160" s="16"/>
      <c r="D160" s="37"/>
      <c r="E160" s="16"/>
      <c r="F160" s="92"/>
      <c r="G160" s="37"/>
      <c r="H160" s="17"/>
      <c r="I160" s="139"/>
      <c r="J160" s="12"/>
      <c r="K160" s="34"/>
      <c r="L160" s="12"/>
      <c r="M160" s="12"/>
      <c r="N160" s="17"/>
      <c r="P160" s="174">
        <f t="shared" si="25"/>
        <v>0</v>
      </c>
    </row>
    <row r="161" spans="1:14" x14ac:dyDescent="0.2">
      <c r="A161" s="28"/>
      <c r="B161" s="27"/>
      <c r="C161" s="16"/>
      <c r="D161" s="37"/>
      <c r="E161" s="16"/>
      <c r="F161" s="37"/>
      <c r="G161" s="37"/>
      <c r="H161" s="17"/>
      <c r="I161" s="12"/>
      <c r="J161" s="12"/>
      <c r="K161" s="34"/>
      <c r="L161" s="12"/>
      <c r="M161" s="12"/>
      <c r="N161" s="17"/>
    </row>
  </sheetData>
  <mergeCells count="15">
    <mergeCell ref="B6:C6"/>
    <mergeCell ref="B128:C128"/>
    <mergeCell ref="B144:C144"/>
    <mergeCell ref="P144:R144"/>
    <mergeCell ref="B24:C24"/>
    <mergeCell ref="B39:C39"/>
    <mergeCell ref="B55:C55"/>
    <mergeCell ref="B69:C69"/>
    <mergeCell ref="B84:C84"/>
    <mergeCell ref="A98:C98"/>
    <mergeCell ref="C1:J2"/>
    <mergeCell ref="D3:F3"/>
    <mergeCell ref="G3:G4"/>
    <mergeCell ref="H3:I3"/>
    <mergeCell ref="K3:N3"/>
  </mergeCells>
  <pageMargins left="0.75" right="0.75" top="1" bottom="1" header="0.5" footer="0.5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7-11 лет </vt:lpstr>
      <vt:lpstr>с 12 лет  (2)</vt:lpstr>
      <vt:lpstr>127-49 руб 7-11 лет  коррек</vt:lpstr>
      <vt:lpstr>139-29  руб 12-18 лет коррекц </vt:lpstr>
      <vt:lpstr>'127-49 руб 7-11 лет  коррек'!Область_печати</vt:lpstr>
      <vt:lpstr>'139-29  руб 12-18 лет коррекц '!Область_печати</vt:lpstr>
      <vt:lpstr>'7-11 лет '!Область_печати</vt:lpstr>
      <vt:lpstr>'с 12 лет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Овсянникова Оксана</dc:creator>
  <cp:lastModifiedBy>user</cp:lastModifiedBy>
  <cp:lastPrinted>2024-11-29T03:10:35Z</cp:lastPrinted>
  <dcterms:created xsi:type="dcterms:W3CDTF">2018-10-04T05:32:37Z</dcterms:created>
  <dcterms:modified xsi:type="dcterms:W3CDTF">2024-12-18T06:47:13Z</dcterms:modified>
</cp:coreProperties>
</file>