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2510" windowHeight="8010" tabRatio="767" firstSheet="3" activeTab="5"/>
  </bookViews>
  <sheets>
    <sheet name="3-7 лет 1 нед" sheetId="1" state="hidden" r:id="rId1"/>
    <sheet name="2 неделя" sheetId="4" state="hidden" r:id="rId2"/>
    <sheet name="шапка сад" sheetId="9" state="hidden" r:id="rId3"/>
    <sheet name="титул сад" sheetId="14" r:id="rId4"/>
    <sheet name="сад 20 дней меню" sheetId="24" r:id="rId5"/>
    <sheet name="ясли 20 дней" sheetId="26" r:id="rId6"/>
    <sheet name="Лист1" sheetId="28" r:id="rId7"/>
  </sheets>
  <externalReferences>
    <externalReference r:id="rId8"/>
  </externalReferences>
  <definedNames>
    <definedName name="_xlnm.Print_Area" localSheetId="0">'3-7 лет 1 нед'!$A$1:$J$28</definedName>
    <definedName name="_xlnm.Print_Area" localSheetId="4">'сад 20 дней меню'!$A$1:$K$584</definedName>
    <definedName name="_xlnm.Print_Area" localSheetId="5">'ясли 20 дней'!$A$1:$J$572</definedName>
  </definedNames>
  <calcPr calcId="152511"/>
</workbook>
</file>

<file path=xl/calcChain.xml><?xml version="1.0" encoding="utf-8"?>
<calcChain xmlns="http://schemas.openxmlformats.org/spreadsheetml/2006/main">
  <c r="D95" i="26" l="1"/>
  <c r="I428" i="24" l="1"/>
  <c r="I454" i="24"/>
  <c r="H451" i="24"/>
  <c r="F26" i="26" l="1"/>
  <c r="D234" i="26" l="1"/>
  <c r="D436" i="24" l="1"/>
  <c r="D430" i="26"/>
  <c r="G430" i="26"/>
  <c r="H430" i="26"/>
  <c r="I430" i="26"/>
  <c r="J430" i="26"/>
  <c r="F430" i="26"/>
  <c r="D448" i="26"/>
  <c r="D556" i="24" l="1"/>
  <c r="D552" i="24"/>
  <c r="D525" i="24"/>
  <c r="D521" i="24"/>
  <c r="D512" i="24"/>
  <c r="D505" i="24"/>
  <c r="D494" i="24"/>
  <c r="D464" i="24"/>
  <c r="D512" i="26"/>
  <c r="D485" i="26"/>
  <c r="D188" i="24"/>
  <c r="D55" i="24"/>
  <c r="D461" i="26"/>
  <c r="G461" i="26"/>
  <c r="H461" i="26"/>
  <c r="I461" i="26"/>
  <c r="J461" i="26"/>
  <c r="F461" i="26"/>
  <c r="D393" i="24"/>
  <c r="D387" i="26"/>
  <c r="D339" i="26"/>
  <c r="I201" i="24"/>
  <c r="H201" i="24"/>
  <c r="F201" i="24"/>
  <c r="I143" i="24"/>
  <c r="H143" i="24"/>
  <c r="F143" i="24"/>
  <c r="I539" i="24"/>
  <c r="H539" i="24"/>
  <c r="F539" i="24"/>
  <c r="I511" i="24"/>
  <c r="H511" i="24"/>
  <c r="F511" i="24"/>
  <c r="I482" i="24"/>
  <c r="H482" i="24"/>
  <c r="F482" i="24"/>
  <c r="I426" i="24"/>
  <c r="H426" i="24"/>
  <c r="F426" i="24"/>
  <c r="I370" i="24"/>
  <c r="H370" i="24"/>
  <c r="F370" i="24"/>
  <c r="I312" i="24"/>
  <c r="H312" i="24"/>
  <c r="F312" i="24"/>
  <c r="I255" i="24"/>
  <c r="H255" i="24"/>
  <c r="F255" i="24"/>
  <c r="I228" i="24"/>
  <c r="H228" i="24"/>
  <c r="F228" i="24"/>
  <c r="I53" i="24"/>
  <c r="H53" i="24"/>
  <c r="F53" i="24"/>
  <c r="I82" i="24"/>
  <c r="H82" i="24"/>
  <c r="F82" i="24"/>
  <c r="I26" i="24"/>
  <c r="H26" i="24"/>
  <c r="F26" i="24"/>
  <c r="G561" i="26" l="1"/>
  <c r="H561" i="26"/>
  <c r="I561" i="26"/>
  <c r="J561" i="26"/>
  <c r="D561" i="26"/>
  <c r="G554" i="26"/>
  <c r="H554" i="26"/>
  <c r="I554" i="26"/>
  <c r="J554" i="26"/>
  <c r="F554" i="26"/>
  <c r="D554" i="26"/>
  <c r="F545" i="26"/>
  <c r="D545" i="26"/>
  <c r="G541" i="26"/>
  <c r="H541" i="26"/>
  <c r="I541" i="26"/>
  <c r="J541" i="26"/>
  <c r="D541" i="26"/>
  <c r="D532" i="26"/>
  <c r="I530" i="26"/>
  <c r="H530" i="26"/>
  <c r="J528" i="26"/>
  <c r="J532" i="26" s="1"/>
  <c r="I528" i="26"/>
  <c r="H528" i="26"/>
  <c r="G528" i="26"/>
  <c r="G532" i="26" s="1"/>
  <c r="F528" i="26"/>
  <c r="G526" i="26"/>
  <c r="H526" i="26"/>
  <c r="I526" i="26"/>
  <c r="J526" i="26"/>
  <c r="D526" i="26"/>
  <c r="J518" i="26"/>
  <c r="I518" i="26"/>
  <c r="H518" i="26"/>
  <c r="G518" i="26"/>
  <c r="F518" i="26"/>
  <c r="G516" i="26"/>
  <c r="H516" i="26"/>
  <c r="I516" i="26"/>
  <c r="J516" i="26"/>
  <c r="F516" i="26"/>
  <c r="D516" i="26"/>
  <c r="G503" i="26"/>
  <c r="J503" i="26"/>
  <c r="F503" i="26"/>
  <c r="D503" i="26"/>
  <c r="I502" i="26"/>
  <c r="I503" i="26" s="1"/>
  <c r="H502" i="26"/>
  <c r="H503" i="26" s="1"/>
  <c r="G496" i="26"/>
  <c r="H496" i="26"/>
  <c r="I496" i="26"/>
  <c r="J496" i="26"/>
  <c r="F496" i="26"/>
  <c r="D496" i="26"/>
  <c r="G485" i="26"/>
  <c r="H485" i="26"/>
  <c r="I485" i="26"/>
  <c r="J485" i="26"/>
  <c r="G476" i="26"/>
  <c r="J476" i="26"/>
  <c r="F476" i="26"/>
  <c r="D476" i="26"/>
  <c r="I474" i="26"/>
  <c r="I476" i="26" s="1"/>
  <c r="H474" i="26"/>
  <c r="H476" i="26" s="1"/>
  <c r="D470" i="26"/>
  <c r="J464" i="26"/>
  <c r="I464" i="26"/>
  <c r="H464" i="26"/>
  <c r="G464" i="26"/>
  <c r="F464" i="26"/>
  <c r="G457" i="26"/>
  <c r="H457" i="26"/>
  <c r="I457" i="26"/>
  <c r="J457" i="26"/>
  <c r="D457" i="26"/>
  <c r="J445" i="26"/>
  <c r="J448" i="26" s="1"/>
  <c r="I445" i="26"/>
  <c r="I448" i="26" s="1"/>
  <c r="H445" i="26"/>
  <c r="H448" i="26" s="1"/>
  <c r="G445" i="26"/>
  <c r="G448" i="26" s="1"/>
  <c r="F445" i="26"/>
  <c r="F448" i="26" s="1"/>
  <c r="D442" i="26"/>
  <c r="J433" i="26"/>
  <c r="I433" i="26"/>
  <c r="H433" i="26"/>
  <c r="G433" i="26"/>
  <c r="F433" i="26"/>
  <c r="D433" i="26"/>
  <c r="G421" i="26"/>
  <c r="J421" i="26"/>
  <c r="D421" i="26"/>
  <c r="I419" i="26"/>
  <c r="I421" i="26" s="1"/>
  <c r="H419" i="26"/>
  <c r="H421" i="26" s="1"/>
  <c r="F403" i="26"/>
  <c r="G414" i="26"/>
  <c r="H414" i="26"/>
  <c r="I414" i="26"/>
  <c r="J414" i="26"/>
  <c r="F414" i="26"/>
  <c r="D414" i="26"/>
  <c r="D406" i="26"/>
  <c r="D403" i="26"/>
  <c r="F374" i="26"/>
  <c r="J387" i="26"/>
  <c r="F393" i="26"/>
  <c r="D393" i="26"/>
  <c r="D378" i="26"/>
  <c r="D374" i="26"/>
  <c r="D360" i="26"/>
  <c r="D348" i="26"/>
  <c r="D351" i="26"/>
  <c r="J339" i="26"/>
  <c r="I335" i="26"/>
  <c r="I339" i="26" s="1"/>
  <c r="H335" i="26"/>
  <c r="H339" i="26" s="1"/>
  <c r="G335" i="26"/>
  <c r="G339" i="26" s="1"/>
  <c r="F335" i="26"/>
  <c r="D333" i="26"/>
  <c r="D320" i="26"/>
  <c r="J324" i="26"/>
  <c r="I324" i="26"/>
  <c r="H324" i="26"/>
  <c r="G324" i="26"/>
  <c r="F324" i="26"/>
  <c r="D324" i="26"/>
  <c r="I532" i="26" l="1"/>
  <c r="H532" i="26"/>
  <c r="G310" i="26"/>
  <c r="J310" i="26"/>
  <c r="F310" i="26"/>
  <c r="D310" i="26"/>
  <c r="G280" i="26"/>
  <c r="H280" i="26"/>
  <c r="I280" i="26"/>
  <c r="J280" i="26"/>
  <c r="I308" i="26"/>
  <c r="I310" i="26" s="1"/>
  <c r="H308" i="26"/>
  <c r="H310" i="26" s="1"/>
  <c r="J298" i="26"/>
  <c r="J303" i="26" s="1"/>
  <c r="I298" i="26"/>
  <c r="I303" i="26" s="1"/>
  <c r="H298" i="26"/>
  <c r="H303" i="26" s="1"/>
  <c r="G298" i="26"/>
  <c r="G303" i="26" s="1"/>
  <c r="F298" i="26"/>
  <c r="F303" i="26" s="1"/>
  <c r="D293" i="26"/>
  <c r="G293" i="26"/>
  <c r="H293" i="26"/>
  <c r="I293" i="26"/>
  <c r="J293" i="26"/>
  <c r="F293" i="26"/>
  <c r="D290" i="26"/>
  <c r="F280" i="26"/>
  <c r="D280" i="26"/>
  <c r="D274" i="26"/>
  <c r="I269" i="26"/>
  <c r="I274" i="26" s="1"/>
  <c r="H269" i="26"/>
  <c r="H274" i="26" s="1"/>
  <c r="G269" i="26"/>
  <c r="G274" i="26" s="1"/>
  <c r="F269" i="26"/>
  <c r="F274" i="26" s="1"/>
  <c r="D266" i="26"/>
  <c r="G263" i="26"/>
  <c r="H263" i="26"/>
  <c r="I263" i="26"/>
  <c r="J263" i="26"/>
  <c r="D263" i="26"/>
  <c r="D253" i="26"/>
  <c r="I251" i="26"/>
  <c r="H251" i="26"/>
  <c r="G250" i="26"/>
  <c r="J249" i="26"/>
  <c r="J253" i="26" s="1"/>
  <c r="I249" i="26"/>
  <c r="I253" i="26" s="1"/>
  <c r="H249" i="26"/>
  <c r="H253" i="26" s="1"/>
  <c r="G249" i="26"/>
  <c r="G253" i="26" s="1"/>
  <c r="F249" i="26"/>
  <c r="F253" i="26" s="1"/>
  <c r="D247" i="26"/>
  <c r="I241" i="26"/>
  <c r="I247" i="26" s="1"/>
  <c r="H241" i="26"/>
  <c r="H247" i="26" s="1"/>
  <c r="G241" i="26"/>
  <c r="G247" i="26" s="1"/>
  <c r="F241" i="26"/>
  <c r="F247" i="26" s="1"/>
  <c r="D238" i="26"/>
  <c r="G234" i="26"/>
  <c r="H234" i="26"/>
  <c r="I234" i="26"/>
  <c r="J234" i="26"/>
  <c r="F561" i="26"/>
  <c r="J545" i="26"/>
  <c r="I545" i="26"/>
  <c r="H545" i="26"/>
  <c r="G545" i="26"/>
  <c r="F541" i="26"/>
  <c r="F532" i="26"/>
  <c r="F526" i="26"/>
  <c r="J512" i="26"/>
  <c r="I512" i="26"/>
  <c r="H512" i="26"/>
  <c r="G512" i="26"/>
  <c r="F512" i="26"/>
  <c r="J488" i="26"/>
  <c r="I488" i="26"/>
  <c r="H488" i="26"/>
  <c r="G488" i="26"/>
  <c r="F488" i="26"/>
  <c r="F485" i="26"/>
  <c r="J470" i="26"/>
  <c r="J477" i="26" s="1"/>
  <c r="I470" i="26"/>
  <c r="I477" i="26" s="1"/>
  <c r="H470" i="26"/>
  <c r="H477" i="26" s="1"/>
  <c r="G470" i="26"/>
  <c r="G477" i="26" s="1"/>
  <c r="F470" i="26"/>
  <c r="F457" i="26"/>
  <c r="J442" i="26"/>
  <c r="I442" i="26"/>
  <c r="H442" i="26"/>
  <c r="G442" i="26"/>
  <c r="F442" i="26"/>
  <c r="F421" i="26"/>
  <c r="J406" i="26"/>
  <c r="I406" i="26"/>
  <c r="H406" i="26"/>
  <c r="G406" i="26"/>
  <c r="F406" i="26"/>
  <c r="J403" i="26"/>
  <c r="I403" i="26"/>
  <c r="H403" i="26"/>
  <c r="G403" i="26"/>
  <c r="J393" i="26"/>
  <c r="I393" i="26"/>
  <c r="H393" i="26"/>
  <c r="G393" i="26"/>
  <c r="I381" i="26"/>
  <c r="I387" i="26" s="1"/>
  <c r="H381" i="26"/>
  <c r="H387" i="26" s="1"/>
  <c r="G381" i="26"/>
  <c r="G387" i="26" s="1"/>
  <c r="F381" i="26"/>
  <c r="F387" i="26" s="1"/>
  <c r="J377" i="26"/>
  <c r="J378" i="26" s="1"/>
  <c r="I377" i="26"/>
  <c r="I378" i="26" s="1"/>
  <c r="H377" i="26"/>
  <c r="H378" i="26" s="1"/>
  <c r="G377" i="26"/>
  <c r="G378" i="26" s="1"/>
  <c r="F377" i="26"/>
  <c r="F378" i="26" s="1"/>
  <c r="J374" i="26"/>
  <c r="I374" i="26"/>
  <c r="H374" i="26"/>
  <c r="G374" i="26"/>
  <c r="J365" i="26"/>
  <c r="I365" i="26"/>
  <c r="H365" i="26"/>
  <c r="G365" i="26"/>
  <c r="F365" i="26"/>
  <c r="J360" i="26"/>
  <c r="I360" i="26"/>
  <c r="H360" i="26"/>
  <c r="G360" i="26"/>
  <c r="F360" i="26"/>
  <c r="J351" i="26"/>
  <c r="I351" i="26"/>
  <c r="H351" i="26"/>
  <c r="G351" i="26"/>
  <c r="F351" i="26"/>
  <c r="J348" i="26"/>
  <c r="I348" i="26"/>
  <c r="H348" i="26"/>
  <c r="G348" i="26"/>
  <c r="F348" i="26"/>
  <c r="F339" i="26"/>
  <c r="J328" i="26"/>
  <c r="J333" i="26" s="1"/>
  <c r="I328" i="26"/>
  <c r="I333" i="26" s="1"/>
  <c r="H328" i="26"/>
  <c r="H333" i="26" s="1"/>
  <c r="G328" i="26"/>
  <c r="G333" i="26" s="1"/>
  <c r="F328" i="26"/>
  <c r="F333" i="26" s="1"/>
  <c r="J320" i="26"/>
  <c r="I320" i="26"/>
  <c r="H320" i="26"/>
  <c r="G320" i="26"/>
  <c r="F320" i="26"/>
  <c r="J290" i="26"/>
  <c r="I290" i="26"/>
  <c r="H290" i="26"/>
  <c r="G290" i="26"/>
  <c r="F290" i="26"/>
  <c r="J274" i="26"/>
  <c r="J266" i="26"/>
  <c r="I266" i="26"/>
  <c r="H266" i="26"/>
  <c r="G266" i="26"/>
  <c r="F266" i="26"/>
  <c r="F263" i="26"/>
  <c r="J247" i="26"/>
  <c r="J238" i="26"/>
  <c r="I238" i="26"/>
  <c r="H238" i="26"/>
  <c r="G238" i="26"/>
  <c r="F238" i="26"/>
  <c r="F234" i="26"/>
  <c r="F504" i="26" l="1"/>
  <c r="F533" i="26"/>
  <c r="F562" i="26"/>
  <c r="F477" i="26"/>
  <c r="F422" i="26"/>
  <c r="H449" i="26"/>
  <c r="F449" i="26"/>
  <c r="I449" i="26"/>
  <c r="G449" i="26"/>
  <c r="J449" i="26"/>
  <c r="F340" i="26"/>
  <c r="H340" i="26"/>
  <c r="J340" i="26"/>
  <c r="G340" i="26"/>
  <c r="I340" i="26"/>
  <c r="F311" i="26"/>
  <c r="G366" i="26"/>
  <c r="I366" i="26"/>
  <c r="F394" i="26"/>
  <c r="H394" i="26"/>
  <c r="J394" i="26"/>
  <c r="G422" i="26"/>
  <c r="I422" i="26"/>
  <c r="H504" i="26"/>
  <c r="J504" i="26"/>
  <c r="G533" i="26"/>
  <c r="I533" i="26"/>
  <c r="J562" i="26"/>
  <c r="H562" i="26"/>
  <c r="F281" i="26"/>
  <c r="G311" i="26"/>
  <c r="J281" i="26"/>
  <c r="F254" i="26"/>
  <c r="H254" i="26"/>
  <c r="J254" i="26"/>
  <c r="I254" i="26"/>
  <c r="H281" i="26"/>
  <c r="G254" i="26"/>
  <c r="I311" i="26"/>
  <c r="G281" i="26"/>
  <c r="I281" i="26"/>
  <c r="H311" i="26"/>
  <c r="J311" i="26"/>
  <c r="F366" i="26"/>
  <c r="H366" i="26"/>
  <c r="J366" i="26"/>
  <c r="G394" i="26"/>
  <c r="I394" i="26"/>
  <c r="H422" i="26"/>
  <c r="J422" i="26"/>
  <c r="G504" i="26"/>
  <c r="I504" i="26"/>
  <c r="H533" i="26"/>
  <c r="J533" i="26"/>
  <c r="G562" i="26"/>
  <c r="I562" i="26"/>
  <c r="G224" i="26" l="1"/>
  <c r="J224" i="26"/>
  <c r="D224" i="26"/>
  <c r="I221" i="26"/>
  <c r="I224" i="26" s="1"/>
  <c r="H221" i="26"/>
  <c r="H224" i="26" s="1"/>
  <c r="F221" i="26"/>
  <c r="F224" i="26" s="1"/>
  <c r="D217" i="26"/>
  <c r="D207" i="26"/>
  <c r="G204" i="26"/>
  <c r="H204" i="26"/>
  <c r="I204" i="26"/>
  <c r="J204" i="26"/>
  <c r="D204" i="26"/>
  <c r="D195" i="26"/>
  <c r="I193" i="26"/>
  <c r="H193" i="26"/>
  <c r="F193" i="26"/>
  <c r="J191" i="26"/>
  <c r="J195" i="26" s="1"/>
  <c r="I191" i="26"/>
  <c r="I195" i="26" s="1"/>
  <c r="H191" i="26"/>
  <c r="H195" i="26" s="1"/>
  <c r="G191" i="26"/>
  <c r="G195" i="26" s="1"/>
  <c r="F191" i="26"/>
  <c r="D189" i="26"/>
  <c r="J183" i="26"/>
  <c r="I183" i="26"/>
  <c r="H183" i="26"/>
  <c r="G183" i="26"/>
  <c r="F183" i="26"/>
  <c r="D161" i="26"/>
  <c r="D177" i="26"/>
  <c r="D180" i="26"/>
  <c r="G168" i="26"/>
  <c r="H168" i="26"/>
  <c r="I168" i="26"/>
  <c r="J168" i="26"/>
  <c r="D168" i="26"/>
  <c r="J151" i="26"/>
  <c r="I151" i="26"/>
  <c r="H151" i="26"/>
  <c r="G151" i="26"/>
  <c r="F151" i="26"/>
  <c r="D151" i="26"/>
  <c r="G147" i="26"/>
  <c r="H147" i="26"/>
  <c r="I147" i="26"/>
  <c r="J147" i="26"/>
  <c r="D147" i="26"/>
  <c r="G131" i="26"/>
  <c r="H131" i="26"/>
  <c r="I131" i="26"/>
  <c r="J131" i="26"/>
  <c r="F131" i="26"/>
  <c r="G138" i="26"/>
  <c r="J138" i="26"/>
  <c r="F138" i="26"/>
  <c r="D138" i="26"/>
  <c r="D131" i="26"/>
  <c r="D104" i="26"/>
  <c r="D110" i="26"/>
  <c r="I136" i="26"/>
  <c r="I138" i="26" s="1"/>
  <c r="H136" i="26"/>
  <c r="H138" i="26" s="1"/>
  <c r="D122" i="26"/>
  <c r="G119" i="26"/>
  <c r="H119" i="26"/>
  <c r="I119" i="26"/>
  <c r="J119" i="26"/>
  <c r="D119" i="26"/>
  <c r="I52" i="26"/>
  <c r="H52" i="26"/>
  <c r="J106" i="26"/>
  <c r="J110" i="26" s="1"/>
  <c r="I106" i="26"/>
  <c r="H106" i="26"/>
  <c r="G106" i="26"/>
  <c r="G110" i="26" s="1"/>
  <c r="F106" i="26"/>
  <c r="F110" i="26" s="1"/>
  <c r="D90" i="26"/>
  <c r="D81" i="26"/>
  <c r="I80" i="26"/>
  <c r="H80" i="26"/>
  <c r="F80" i="26"/>
  <c r="F81" i="26" s="1"/>
  <c r="D75" i="26"/>
  <c r="H110" i="26" l="1"/>
  <c r="I110" i="26"/>
  <c r="D66" i="26"/>
  <c r="D63" i="26"/>
  <c r="D54" i="26"/>
  <c r="J50" i="26"/>
  <c r="J54" i="26" s="1"/>
  <c r="I50" i="26"/>
  <c r="I54" i="26" s="1"/>
  <c r="H50" i="26"/>
  <c r="H54" i="26" s="1"/>
  <c r="G50" i="26"/>
  <c r="G54" i="26" s="1"/>
  <c r="F50" i="26"/>
  <c r="F54" i="26" s="1"/>
  <c r="D48" i="26"/>
  <c r="D35" i="26"/>
  <c r="I42" i="26"/>
  <c r="H42" i="26"/>
  <c r="G42" i="26"/>
  <c r="F42" i="26"/>
  <c r="D39" i="26"/>
  <c r="D26" i="26"/>
  <c r="I25" i="26"/>
  <c r="H25" i="26"/>
  <c r="F20" i="26"/>
  <c r="D20" i="26"/>
  <c r="D572" i="24" l="1"/>
  <c r="F483" i="24"/>
  <c r="D483" i="24"/>
  <c r="J468" i="24"/>
  <c r="I468" i="24"/>
  <c r="H468" i="24"/>
  <c r="G468" i="24"/>
  <c r="F468" i="24"/>
  <c r="D468" i="24"/>
  <c r="D454" i="24"/>
  <c r="J451" i="24"/>
  <c r="I451" i="24"/>
  <c r="G451" i="24"/>
  <c r="F451" i="24"/>
  <c r="F454" i="24" s="1"/>
  <c r="I412" i="24"/>
  <c r="J412" i="24"/>
  <c r="G384" i="24"/>
  <c r="H384" i="24"/>
  <c r="I384" i="24"/>
  <c r="J384" i="24"/>
  <c r="F384" i="24"/>
  <c r="D371" i="24"/>
  <c r="D356" i="24"/>
  <c r="D252" i="24"/>
  <c r="D231" i="24"/>
  <c r="F224" i="24"/>
  <c r="D215" i="24"/>
  <c r="D224" i="24"/>
  <c r="D212" i="24"/>
  <c r="D185" i="24"/>
  <c r="G175" i="24"/>
  <c r="H175" i="24"/>
  <c r="I175" i="24"/>
  <c r="J175" i="24"/>
  <c r="D175" i="24"/>
  <c r="D168" i="24"/>
  <c r="D154" i="24" l="1"/>
  <c r="G145" i="24"/>
  <c r="J145" i="24"/>
  <c r="G108" i="24"/>
  <c r="H108" i="24"/>
  <c r="I108" i="24"/>
  <c r="J108" i="24"/>
  <c r="F108" i="24"/>
  <c r="D94" i="24"/>
  <c r="G65" i="24"/>
  <c r="H65" i="24"/>
  <c r="I65" i="24"/>
  <c r="J65" i="24"/>
  <c r="G43" i="24"/>
  <c r="F43" i="24"/>
  <c r="G40" i="24"/>
  <c r="H40" i="24"/>
  <c r="I40" i="24"/>
  <c r="J40" i="24"/>
  <c r="F40" i="24"/>
  <c r="D40" i="24"/>
  <c r="G36" i="24"/>
  <c r="H36" i="24"/>
  <c r="I36" i="24"/>
  <c r="J36" i="24"/>
  <c r="D36" i="24"/>
  <c r="G27" i="24"/>
  <c r="J27" i="24"/>
  <c r="F27" i="24"/>
  <c r="D27" i="24"/>
  <c r="G8" i="24"/>
  <c r="H8" i="24"/>
  <c r="I8" i="24"/>
  <c r="J8" i="24"/>
  <c r="D8" i="24"/>
  <c r="G154" i="24" l="1"/>
  <c r="H154" i="24"/>
  <c r="I154" i="24"/>
  <c r="J154" i="24"/>
  <c r="F154" i="24"/>
  <c r="D114" i="24"/>
  <c r="J572" i="24"/>
  <c r="F572" i="24"/>
  <c r="I572" i="24"/>
  <c r="H572" i="24"/>
  <c r="G569" i="24"/>
  <c r="G572" i="24" s="1"/>
  <c r="D565" i="24"/>
  <c r="G552" i="24"/>
  <c r="H552" i="24"/>
  <c r="I552" i="24"/>
  <c r="J552" i="24"/>
  <c r="F552" i="24"/>
  <c r="D541" i="24"/>
  <c r="J537" i="24"/>
  <c r="J541" i="24" s="1"/>
  <c r="I537" i="24"/>
  <c r="H537" i="24"/>
  <c r="G537" i="24"/>
  <c r="G541" i="24" s="1"/>
  <c r="F537" i="24"/>
  <c r="D535" i="24"/>
  <c r="G525" i="24"/>
  <c r="H525" i="24"/>
  <c r="I525" i="24"/>
  <c r="J525" i="24"/>
  <c r="F525" i="24"/>
  <c r="G521" i="24"/>
  <c r="H521" i="24"/>
  <c r="I521" i="24"/>
  <c r="J521" i="24"/>
  <c r="F521" i="24"/>
  <c r="G512" i="24"/>
  <c r="J512" i="24"/>
  <c r="F512" i="24"/>
  <c r="I512" i="24"/>
  <c r="H512" i="24"/>
  <c r="D497" i="24"/>
  <c r="G494" i="24"/>
  <c r="H494" i="24"/>
  <c r="I494" i="24"/>
  <c r="J494" i="24"/>
  <c r="F494" i="24"/>
  <c r="J483" i="24"/>
  <c r="I483" i="24"/>
  <c r="H483" i="24"/>
  <c r="D477" i="24"/>
  <c r="G476" i="24"/>
  <c r="J471" i="24"/>
  <c r="J477" i="24" s="1"/>
  <c r="I471" i="24"/>
  <c r="I477" i="24" s="1"/>
  <c r="H471" i="24"/>
  <c r="H477" i="24" s="1"/>
  <c r="G471" i="24"/>
  <c r="G477" i="24" s="1"/>
  <c r="F471" i="24"/>
  <c r="F477" i="24" s="1"/>
  <c r="G464" i="24"/>
  <c r="H464" i="24"/>
  <c r="I464" i="24"/>
  <c r="J464" i="24"/>
  <c r="D448" i="24"/>
  <c r="G439" i="24"/>
  <c r="H439" i="24"/>
  <c r="I439" i="24"/>
  <c r="J439" i="24"/>
  <c r="F439" i="24"/>
  <c r="D439" i="24"/>
  <c r="G427" i="24"/>
  <c r="J427" i="24"/>
  <c r="D427" i="24"/>
  <c r="I427" i="24"/>
  <c r="H427" i="24"/>
  <c r="H420" i="24"/>
  <c r="I420" i="24"/>
  <c r="J420" i="24"/>
  <c r="D420" i="24"/>
  <c r="D412" i="24"/>
  <c r="G409" i="24"/>
  <c r="H409" i="24"/>
  <c r="I409" i="24"/>
  <c r="J409" i="24"/>
  <c r="D409" i="24"/>
  <c r="H399" i="24"/>
  <c r="I399" i="24"/>
  <c r="J399" i="24"/>
  <c r="G398" i="24"/>
  <c r="G399" i="24" s="1"/>
  <c r="G393" i="24"/>
  <c r="H393" i="24"/>
  <c r="I393" i="24"/>
  <c r="J393" i="24"/>
  <c r="F387" i="24"/>
  <c r="F393" i="24" s="1"/>
  <c r="D384" i="24"/>
  <c r="G380" i="24"/>
  <c r="H380" i="24"/>
  <c r="I380" i="24"/>
  <c r="J380" i="24"/>
  <c r="F380" i="24"/>
  <c r="D380" i="24"/>
  <c r="J371" i="24"/>
  <c r="I371" i="24"/>
  <c r="H371" i="24"/>
  <c r="G369" i="24"/>
  <c r="G371" i="24" s="1"/>
  <c r="H365" i="24"/>
  <c r="I365" i="24"/>
  <c r="J365" i="24"/>
  <c r="D365" i="24"/>
  <c r="G356" i="24"/>
  <c r="H356" i="24"/>
  <c r="I356" i="24"/>
  <c r="J356" i="24"/>
  <c r="F356" i="24"/>
  <c r="G353" i="24"/>
  <c r="H353" i="24"/>
  <c r="I353" i="24"/>
  <c r="J353" i="24"/>
  <c r="F353" i="24"/>
  <c r="D353" i="24"/>
  <c r="D343" i="24"/>
  <c r="J339" i="24"/>
  <c r="J343" i="24" s="1"/>
  <c r="I339" i="24"/>
  <c r="I343" i="24" s="1"/>
  <c r="H339" i="24"/>
  <c r="H343" i="24" s="1"/>
  <c r="G339" i="24"/>
  <c r="G343" i="24" s="1"/>
  <c r="F339" i="24"/>
  <c r="D337" i="24"/>
  <c r="G328" i="24"/>
  <c r="H328" i="24"/>
  <c r="I328" i="24"/>
  <c r="J328" i="24"/>
  <c r="F328" i="24"/>
  <c r="D328" i="24"/>
  <c r="G324" i="24"/>
  <c r="H324" i="24"/>
  <c r="I324" i="24"/>
  <c r="J324" i="24"/>
  <c r="F324" i="24"/>
  <c r="D324" i="24"/>
  <c r="D308" i="24"/>
  <c r="G315" i="24"/>
  <c r="J315" i="24"/>
  <c r="D315" i="24"/>
  <c r="I315" i="24"/>
  <c r="H315" i="24"/>
  <c r="J303" i="24"/>
  <c r="J308" i="24" s="1"/>
  <c r="I303" i="24"/>
  <c r="I308" i="24" s="1"/>
  <c r="H303" i="24"/>
  <c r="H308" i="24" s="1"/>
  <c r="G303" i="24"/>
  <c r="G308" i="24" s="1"/>
  <c r="F303" i="24"/>
  <c r="F308" i="24" s="1"/>
  <c r="G298" i="24"/>
  <c r="H298" i="24"/>
  <c r="I298" i="24"/>
  <c r="J298" i="24"/>
  <c r="F298" i="24"/>
  <c r="D298" i="24"/>
  <c r="G295" i="24"/>
  <c r="H295" i="24"/>
  <c r="I295" i="24"/>
  <c r="J295" i="24"/>
  <c r="F295" i="24"/>
  <c r="D295" i="24"/>
  <c r="H284" i="24"/>
  <c r="I284" i="24"/>
  <c r="J284" i="24"/>
  <c r="D278" i="24"/>
  <c r="D270" i="24"/>
  <c r="G267" i="24"/>
  <c r="H267" i="24"/>
  <c r="I267" i="24"/>
  <c r="J267" i="24"/>
  <c r="D267" i="24"/>
  <c r="D258" i="24"/>
  <c r="J254" i="24"/>
  <c r="J258" i="24" s="1"/>
  <c r="I254" i="24"/>
  <c r="H254" i="24"/>
  <c r="G254" i="24"/>
  <c r="G258" i="24" s="1"/>
  <c r="F254" i="24"/>
  <c r="J246" i="24"/>
  <c r="J252" i="24" s="1"/>
  <c r="I246" i="24"/>
  <c r="I252" i="24" s="1"/>
  <c r="H246" i="24"/>
  <c r="H252" i="24" s="1"/>
  <c r="G246" i="24"/>
  <c r="F246" i="24"/>
  <c r="F252" i="24" s="1"/>
  <c r="G243" i="24"/>
  <c r="H243" i="24"/>
  <c r="I243" i="24"/>
  <c r="J243" i="24"/>
  <c r="F243" i="24"/>
  <c r="G240" i="24"/>
  <c r="H240" i="24"/>
  <c r="I240" i="24"/>
  <c r="J240" i="24"/>
  <c r="F240" i="24"/>
  <c r="D240" i="24"/>
  <c r="G231" i="24"/>
  <c r="J231" i="24"/>
  <c r="F231" i="24"/>
  <c r="I231" i="24"/>
  <c r="H231" i="24"/>
  <c r="G212" i="24"/>
  <c r="H212" i="24"/>
  <c r="I212" i="24"/>
  <c r="J212" i="24"/>
  <c r="F212" i="24"/>
  <c r="G203" i="24"/>
  <c r="J203" i="24"/>
  <c r="D203" i="24"/>
  <c r="I203" i="24"/>
  <c r="H203" i="24"/>
  <c r="G185" i="24"/>
  <c r="H185" i="24"/>
  <c r="I185" i="24"/>
  <c r="J185" i="24"/>
  <c r="F185" i="24"/>
  <c r="F175" i="24"/>
  <c r="D158" i="24"/>
  <c r="H168" i="24"/>
  <c r="I168" i="24"/>
  <c r="J168" i="24"/>
  <c r="F168" i="24"/>
  <c r="G158" i="24"/>
  <c r="H158" i="24"/>
  <c r="I158" i="24"/>
  <c r="J158" i="24"/>
  <c r="F158" i="24"/>
  <c r="H138" i="24"/>
  <c r="I138" i="24"/>
  <c r="J138" i="24"/>
  <c r="F138" i="24"/>
  <c r="F145" i="24"/>
  <c r="D145" i="24"/>
  <c r="H145" i="24"/>
  <c r="I141" i="24"/>
  <c r="I145" i="24" s="1"/>
  <c r="D128" i="24"/>
  <c r="D125" i="24"/>
  <c r="G125" i="24"/>
  <c r="H125" i="24"/>
  <c r="I125" i="24"/>
  <c r="J125" i="24"/>
  <c r="F125" i="24"/>
  <c r="D108" i="24"/>
  <c r="G99" i="24"/>
  <c r="H99" i="24"/>
  <c r="I99" i="24"/>
  <c r="J99" i="24"/>
  <c r="G94" i="24"/>
  <c r="H94" i="24"/>
  <c r="I94" i="24"/>
  <c r="J94" i="24"/>
  <c r="J110" i="24"/>
  <c r="J114" i="24" s="1"/>
  <c r="I110" i="24"/>
  <c r="H110" i="24"/>
  <c r="G110" i="24"/>
  <c r="G114" i="24" s="1"/>
  <c r="F110" i="24"/>
  <c r="F114" i="24" s="1"/>
  <c r="F99" i="24"/>
  <c r="D99" i="24"/>
  <c r="F94" i="24"/>
  <c r="D83" i="24"/>
  <c r="D65" i="24"/>
  <c r="D68" i="24"/>
  <c r="D77" i="24"/>
  <c r="F65" i="24"/>
  <c r="F36" i="24"/>
  <c r="D49" i="24"/>
  <c r="J51" i="24"/>
  <c r="J55" i="24" s="1"/>
  <c r="I51" i="24"/>
  <c r="I55" i="24" s="1"/>
  <c r="H51" i="24"/>
  <c r="H55" i="24" s="1"/>
  <c r="G51" i="24"/>
  <c r="G55" i="24" s="1"/>
  <c r="F51" i="24"/>
  <c r="F55" i="24" s="1"/>
  <c r="J43" i="24"/>
  <c r="J49" i="24" s="1"/>
  <c r="I43" i="24"/>
  <c r="I49" i="24" s="1"/>
  <c r="H43" i="24"/>
  <c r="H49" i="24" s="1"/>
  <c r="G49" i="24"/>
  <c r="F49" i="24"/>
  <c r="D21" i="24"/>
  <c r="I27" i="24"/>
  <c r="H27" i="24"/>
  <c r="G400" i="24" l="1"/>
  <c r="I400" i="24"/>
  <c r="J400" i="24"/>
  <c r="H400" i="24"/>
  <c r="F176" i="24"/>
  <c r="H541" i="24"/>
  <c r="I541" i="24"/>
  <c r="I484" i="24"/>
  <c r="J484" i="24"/>
  <c r="H484" i="24"/>
  <c r="J372" i="24"/>
  <c r="H372" i="24"/>
  <c r="I372" i="24"/>
  <c r="H316" i="24"/>
  <c r="I258" i="24"/>
  <c r="I259" i="24" s="1"/>
  <c r="G316" i="24"/>
  <c r="I316" i="24"/>
  <c r="J316" i="24"/>
  <c r="H258" i="24"/>
  <c r="H259" i="24" s="1"/>
  <c r="J259" i="24"/>
  <c r="H176" i="24"/>
  <c r="I176" i="24"/>
  <c r="J176" i="24"/>
  <c r="J115" i="24"/>
  <c r="G115" i="24"/>
  <c r="I114" i="24"/>
  <c r="I115" i="24" s="1"/>
  <c r="H114" i="24"/>
  <c r="H115" i="24" s="1"/>
  <c r="F115" i="24"/>
  <c r="D12" i="24" l="1"/>
  <c r="J217" i="26" l="1"/>
  <c r="I217" i="26"/>
  <c r="H217" i="26"/>
  <c r="G217" i="26"/>
  <c r="F217" i="26"/>
  <c r="I90" i="26"/>
  <c r="I95" i="26"/>
  <c r="I104" i="26"/>
  <c r="I48" i="26"/>
  <c r="H48" i="26"/>
  <c r="G48" i="26"/>
  <c r="F48" i="26"/>
  <c r="J207" i="26"/>
  <c r="I207" i="26"/>
  <c r="H207" i="26"/>
  <c r="G207" i="26"/>
  <c r="F207" i="26"/>
  <c r="F204" i="26"/>
  <c r="F195" i="26"/>
  <c r="J189" i="26"/>
  <c r="I189" i="26"/>
  <c r="H189" i="26"/>
  <c r="G189" i="26"/>
  <c r="F189" i="26"/>
  <c r="J180" i="26"/>
  <c r="I180" i="26"/>
  <c r="H180" i="26"/>
  <c r="G180" i="26"/>
  <c r="F180" i="26"/>
  <c r="J177" i="26"/>
  <c r="I177" i="26"/>
  <c r="H177" i="26"/>
  <c r="G177" i="26"/>
  <c r="F177" i="26"/>
  <c r="F168" i="26"/>
  <c r="J161" i="26"/>
  <c r="J169" i="26" s="1"/>
  <c r="I161" i="26"/>
  <c r="I169" i="26" s="1"/>
  <c r="H161" i="26"/>
  <c r="H169" i="26" s="1"/>
  <c r="F161" i="26"/>
  <c r="G161" i="26"/>
  <c r="G169" i="26" s="1"/>
  <c r="F147" i="26"/>
  <c r="F169" i="26" s="1"/>
  <c r="J122" i="26"/>
  <c r="I122" i="26"/>
  <c r="H122" i="26"/>
  <c r="G122" i="26"/>
  <c r="F122" i="26"/>
  <c r="F119" i="26"/>
  <c r="J104" i="26"/>
  <c r="H104" i="26"/>
  <c r="G104" i="26"/>
  <c r="F104" i="26"/>
  <c r="J95" i="26"/>
  <c r="H95" i="26"/>
  <c r="G95" i="26"/>
  <c r="F95" i="26"/>
  <c r="J90" i="26"/>
  <c r="J111" i="26" s="1"/>
  <c r="H90" i="26"/>
  <c r="H111" i="26" s="1"/>
  <c r="G90" i="26"/>
  <c r="G111" i="26" s="1"/>
  <c r="F90" i="26"/>
  <c r="F111" i="26" s="1"/>
  <c r="J81" i="26"/>
  <c r="I81" i="26"/>
  <c r="H81" i="26"/>
  <c r="G81" i="26"/>
  <c r="J75" i="26"/>
  <c r="H75" i="26"/>
  <c r="G75" i="26"/>
  <c r="F75" i="26"/>
  <c r="I69" i="26"/>
  <c r="I75" i="26" s="1"/>
  <c r="J66" i="26"/>
  <c r="I66" i="26"/>
  <c r="H66" i="26"/>
  <c r="G66" i="26"/>
  <c r="F66" i="26"/>
  <c r="J63" i="26"/>
  <c r="I63" i="26"/>
  <c r="H63" i="26"/>
  <c r="G63" i="26"/>
  <c r="F63" i="26"/>
  <c r="J48" i="26"/>
  <c r="J39" i="26"/>
  <c r="I39" i="26"/>
  <c r="H39" i="26"/>
  <c r="G39" i="26"/>
  <c r="F39" i="26"/>
  <c r="J35" i="26"/>
  <c r="I35" i="26"/>
  <c r="H35" i="26"/>
  <c r="G35" i="26"/>
  <c r="F35" i="26"/>
  <c r="J26" i="26"/>
  <c r="I26" i="26"/>
  <c r="H26" i="26"/>
  <c r="G26" i="26"/>
  <c r="J20" i="26"/>
  <c r="I20" i="26"/>
  <c r="H20" i="26"/>
  <c r="G20" i="26"/>
  <c r="J11" i="26"/>
  <c r="I11" i="26"/>
  <c r="H11" i="26"/>
  <c r="G11" i="26"/>
  <c r="F11" i="26"/>
  <c r="D11" i="26"/>
  <c r="J8" i="26"/>
  <c r="J27" i="26" s="1"/>
  <c r="I8" i="26"/>
  <c r="I27" i="26" s="1"/>
  <c r="H8" i="26"/>
  <c r="H27" i="26" s="1"/>
  <c r="G8" i="26"/>
  <c r="G27" i="26" s="1"/>
  <c r="F8" i="26"/>
  <c r="F27" i="26" s="1"/>
  <c r="D8" i="26"/>
  <c r="G564" i="24"/>
  <c r="J565" i="24"/>
  <c r="I565" i="24"/>
  <c r="H565" i="24"/>
  <c r="G565" i="24"/>
  <c r="F565" i="24"/>
  <c r="G534" i="24"/>
  <c r="G535" i="24" s="1"/>
  <c r="G542" i="24" s="1"/>
  <c r="G504" i="24"/>
  <c r="G505" i="24" s="1"/>
  <c r="G480" i="24"/>
  <c r="G483" i="24" s="1"/>
  <c r="G484" i="24" s="1"/>
  <c r="G447" i="24"/>
  <c r="G448" i="24" s="1"/>
  <c r="G419" i="24"/>
  <c r="G420" i="24" s="1"/>
  <c r="G364" i="24"/>
  <c r="G365" i="24" s="1"/>
  <c r="G372" i="24" s="1"/>
  <c r="G336" i="24"/>
  <c r="I332" i="24"/>
  <c r="H332" i="24"/>
  <c r="H337" i="24" s="1"/>
  <c r="H344" i="24" s="1"/>
  <c r="G332" i="24"/>
  <c r="F332" i="24"/>
  <c r="F337" i="24" s="1"/>
  <c r="G283" i="24"/>
  <c r="G284" i="24" s="1"/>
  <c r="G277" i="24"/>
  <c r="J273" i="24"/>
  <c r="J278" i="24" s="1"/>
  <c r="I273" i="24"/>
  <c r="I278" i="24" s="1"/>
  <c r="H273" i="24"/>
  <c r="H278" i="24" s="1"/>
  <c r="G273" i="24"/>
  <c r="G278" i="24" s="1"/>
  <c r="F273" i="24"/>
  <c r="F278" i="24" s="1"/>
  <c r="G251" i="24"/>
  <c r="G252" i="24" s="1"/>
  <c r="G259" i="24" s="1"/>
  <c r="G223" i="24"/>
  <c r="G224" i="24" s="1"/>
  <c r="J224" i="24"/>
  <c r="H224" i="24"/>
  <c r="G196" i="24"/>
  <c r="J191" i="24"/>
  <c r="J197" i="24" s="1"/>
  <c r="I191" i="24"/>
  <c r="I197" i="24" s="1"/>
  <c r="H191" i="24"/>
  <c r="H197" i="24" s="1"/>
  <c r="G191" i="24"/>
  <c r="G197" i="24" s="1"/>
  <c r="F191" i="24"/>
  <c r="F197" i="24" s="1"/>
  <c r="G167" i="24"/>
  <c r="G168" i="24" s="1"/>
  <c r="G176" i="24" s="1"/>
  <c r="G137" i="24"/>
  <c r="G138" i="24" s="1"/>
  <c r="F535" i="24"/>
  <c r="F448" i="24"/>
  <c r="F436" i="24"/>
  <c r="F427" i="24"/>
  <c r="F420" i="24"/>
  <c r="G412" i="24"/>
  <c r="H412" i="24"/>
  <c r="H428" i="24" s="1"/>
  <c r="J428" i="24"/>
  <c r="F412" i="24"/>
  <c r="F409" i="24"/>
  <c r="F399" i="24"/>
  <c r="F400" i="24" s="1"/>
  <c r="F284" i="24"/>
  <c r="G270" i="24"/>
  <c r="H270" i="24"/>
  <c r="I270" i="24"/>
  <c r="J270" i="24"/>
  <c r="F270" i="24"/>
  <c r="F258" i="24"/>
  <c r="F259" i="24" s="1"/>
  <c r="F203" i="24"/>
  <c r="F188" i="24"/>
  <c r="F56" i="24"/>
  <c r="H21" i="24"/>
  <c r="J21" i="24"/>
  <c r="F21" i="24"/>
  <c r="G12" i="24"/>
  <c r="H12" i="24"/>
  <c r="I12" i="24"/>
  <c r="J12" i="24"/>
  <c r="F12" i="24"/>
  <c r="F8" i="24"/>
  <c r="F541" i="24"/>
  <c r="F382" i="24"/>
  <c r="G382" i="24"/>
  <c r="H382" i="24"/>
  <c r="I382" i="24"/>
  <c r="J382" i="24"/>
  <c r="J556" i="24"/>
  <c r="I556" i="24"/>
  <c r="H556" i="24"/>
  <c r="G556" i="24"/>
  <c r="F556" i="24"/>
  <c r="J535" i="24"/>
  <c r="J542" i="24" s="1"/>
  <c r="H535" i="24"/>
  <c r="H542" i="24" s="1"/>
  <c r="J505" i="24"/>
  <c r="H505" i="24"/>
  <c r="F505" i="24"/>
  <c r="J497" i="24"/>
  <c r="I497" i="24"/>
  <c r="H497" i="24"/>
  <c r="G497" i="24"/>
  <c r="F497" i="24"/>
  <c r="F464" i="24"/>
  <c r="F484" i="24" s="1"/>
  <c r="J454" i="24"/>
  <c r="H454" i="24"/>
  <c r="G454" i="24"/>
  <c r="J448" i="24"/>
  <c r="H448" i="24"/>
  <c r="J436" i="24"/>
  <c r="I436" i="24"/>
  <c r="H436" i="24"/>
  <c r="G436" i="24"/>
  <c r="D399" i="24"/>
  <c r="F371" i="24"/>
  <c r="F365" i="24"/>
  <c r="F343" i="24"/>
  <c r="J337" i="24"/>
  <c r="J344" i="24" s="1"/>
  <c r="F315" i="24"/>
  <c r="F316" i="24" s="1"/>
  <c r="D284" i="24"/>
  <c r="F267" i="24"/>
  <c r="J215" i="24"/>
  <c r="J216" i="24" s="1"/>
  <c r="I215" i="24"/>
  <c r="H215" i="24"/>
  <c r="G215" i="24"/>
  <c r="F215" i="24"/>
  <c r="F232" i="24" s="1"/>
  <c r="J188" i="24"/>
  <c r="I188" i="24"/>
  <c r="H188" i="24"/>
  <c r="G188" i="24"/>
  <c r="J128" i="24"/>
  <c r="J146" i="24" s="1"/>
  <c r="I128" i="24"/>
  <c r="I146" i="24" s="1"/>
  <c r="H128" i="24"/>
  <c r="H146" i="24" s="1"/>
  <c r="F128" i="24"/>
  <c r="F146" i="24" s="1"/>
  <c r="G128" i="24"/>
  <c r="J83" i="24"/>
  <c r="I83" i="24"/>
  <c r="H83" i="24"/>
  <c r="G83" i="24"/>
  <c r="F83" i="24"/>
  <c r="J77" i="24"/>
  <c r="H77" i="24"/>
  <c r="F77" i="24"/>
  <c r="G77" i="24"/>
  <c r="J68" i="24"/>
  <c r="I68" i="24"/>
  <c r="H68" i="24"/>
  <c r="F68" i="24"/>
  <c r="G68" i="24"/>
  <c r="G21" i="24"/>
  <c r="F55" i="26" l="1"/>
  <c r="H55" i="26"/>
  <c r="J55" i="26"/>
  <c r="G55" i="26"/>
  <c r="I55" i="26"/>
  <c r="F513" i="24"/>
  <c r="F455" i="24"/>
  <c r="F573" i="24"/>
  <c r="H226" i="26"/>
  <c r="J226" i="26"/>
  <c r="F226" i="26"/>
  <c r="G226" i="26"/>
  <c r="I226" i="26"/>
  <c r="G196" i="26"/>
  <c r="I196" i="26"/>
  <c r="F196" i="26"/>
  <c r="H196" i="26"/>
  <c r="J196" i="26"/>
  <c r="G82" i="26"/>
  <c r="I82" i="26"/>
  <c r="I111" i="26"/>
  <c r="F82" i="26"/>
  <c r="H82" i="26"/>
  <c r="J82" i="26"/>
  <c r="F372" i="24"/>
  <c r="G573" i="24"/>
  <c r="I573" i="24"/>
  <c r="J513" i="24"/>
  <c r="H573" i="24"/>
  <c r="J573" i="24"/>
  <c r="F542" i="24"/>
  <c r="H513" i="24"/>
  <c r="G513" i="24"/>
  <c r="F428" i="24"/>
  <c r="G428" i="24"/>
  <c r="F344" i="24"/>
  <c r="G285" i="24"/>
  <c r="F285" i="24"/>
  <c r="H285" i="24"/>
  <c r="J285" i="24"/>
  <c r="I285" i="24"/>
  <c r="J232" i="24"/>
  <c r="G232" i="24"/>
  <c r="F204" i="24"/>
  <c r="H232" i="24"/>
  <c r="H204" i="24"/>
  <c r="J204" i="24"/>
  <c r="G204" i="24"/>
  <c r="I204" i="24"/>
  <c r="G146" i="24"/>
  <c r="H56" i="24"/>
  <c r="G337" i="24"/>
  <c r="G344" i="24" s="1"/>
  <c r="I139" i="26"/>
  <c r="F225" i="26"/>
  <c r="H225" i="26"/>
  <c r="G225" i="26"/>
  <c r="J225" i="26"/>
  <c r="I225" i="26"/>
  <c r="G139" i="26"/>
  <c r="F139" i="26"/>
  <c r="H139" i="26"/>
  <c r="J139" i="26"/>
  <c r="H455" i="24"/>
  <c r="J56" i="24"/>
  <c r="I56" i="24"/>
  <c r="F28" i="24"/>
  <c r="G455" i="24"/>
  <c r="J455" i="24"/>
  <c r="G56" i="24"/>
  <c r="I21" i="24"/>
  <c r="I28" i="24" s="1"/>
  <c r="G84" i="24"/>
  <c r="H28" i="24"/>
  <c r="J28" i="24"/>
  <c r="G28" i="24"/>
  <c r="F84" i="24"/>
  <c r="H84" i="24"/>
  <c r="J84" i="24"/>
  <c r="I535" i="24"/>
  <c r="I542" i="24" s="1"/>
  <c r="I448" i="24"/>
  <c r="I77" i="24"/>
  <c r="I84" i="24" s="1"/>
  <c r="I224" i="24"/>
  <c r="I232" i="24" s="1"/>
  <c r="I337" i="24"/>
  <c r="I344" i="24" s="1"/>
  <c r="I505" i="24"/>
  <c r="I513" i="24" s="1"/>
  <c r="I455" i="24" l="1"/>
  <c r="I119" i="1" l="1"/>
  <c r="I81" i="1"/>
  <c r="H81" i="1"/>
  <c r="G81" i="1"/>
  <c r="F81" i="1"/>
  <c r="I140" i="4"/>
  <c r="I78" i="1"/>
  <c r="I27" i="1"/>
  <c r="I113" i="4"/>
  <c r="I56" i="4"/>
  <c r="H56" i="4"/>
  <c r="G56" i="4"/>
  <c r="F56" i="4"/>
  <c r="I25" i="4"/>
  <c r="G74" i="1"/>
  <c r="I70" i="1"/>
  <c r="H70" i="1"/>
  <c r="G70" i="1"/>
  <c r="F70" i="1"/>
  <c r="D27" i="1"/>
  <c r="I6" i="4" l="1"/>
  <c r="I104" i="4" l="1"/>
  <c r="D87" i="4"/>
  <c r="G86" i="4"/>
  <c r="I76" i="4"/>
  <c r="I124" i="4"/>
  <c r="D58" i="4"/>
  <c r="I37" i="4"/>
  <c r="I23" i="4"/>
  <c r="G122" i="1" l="1"/>
  <c r="I122" i="1" s="1"/>
  <c r="I90" i="1"/>
  <c r="D8" i="1"/>
  <c r="J27" i="1" l="1"/>
  <c r="J20" i="1"/>
  <c r="J12" i="1"/>
  <c r="J8" i="1"/>
  <c r="J28" i="1" l="1"/>
  <c r="J145" i="4"/>
  <c r="J138" i="4"/>
  <c r="J125" i="4"/>
  <c r="J115" i="4"/>
  <c r="J109" i="4"/>
  <c r="J101" i="4"/>
  <c r="J97" i="4"/>
  <c r="J80" i="4"/>
  <c r="J68" i="4"/>
  <c r="J58" i="4"/>
  <c r="J51" i="4"/>
  <c r="J42" i="4"/>
  <c r="J39" i="4"/>
  <c r="J27" i="4"/>
  <c r="J20" i="4"/>
  <c r="J12" i="4"/>
  <c r="J8" i="4"/>
  <c r="J156" i="1"/>
  <c r="J150" i="1"/>
  <c r="J141" i="1"/>
  <c r="J137" i="1"/>
  <c r="J123" i="1"/>
  <c r="J116" i="1"/>
  <c r="J103" i="1"/>
  <c r="J91" i="1"/>
  <c r="J86" i="1"/>
  <c r="J76" i="1"/>
  <c r="J72" i="1"/>
  <c r="J61" i="1"/>
  <c r="J54" i="1"/>
  <c r="J41" i="1"/>
  <c r="I42" i="4"/>
  <c r="I38" i="4"/>
  <c r="I36" i="4"/>
  <c r="I24" i="4"/>
  <c r="I26" i="4"/>
  <c r="I15" i="4"/>
  <c r="I17" i="4"/>
  <c r="I18" i="4"/>
  <c r="I45" i="4"/>
  <c r="I11" i="4"/>
  <c r="I10" i="4"/>
  <c r="I7" i="4"/>
  <c r="I5" i="4"/>
  <c r="I153" i="1"/>
  <c r="I154" i="1"/>
  <c r="I152" i="1"/>
  <c r="I144" i="1"/>
  <c r="I145" i="1"/>
  <c r="I146" i="1"/>
  <c r="I147" i="1"/>
  <c r="I148" i="1"/>
  <c r="I143" i="1"/>
  <c r="I136" i="1"/>
  <c r="I134" i="1"/>
  <c r="I118" i="1"/>
  <c r="I110" i="1"/>
  <c r="I111" i="1"/>
  <c r="I112" i="1"/>
  <c r="I114" i="1"/>
  <c r="I109" i="1"/>
  <c r="I101" i="1"/>
  <c r="I102" i="1"/>
  <c r="I100" i="1"/>
  <c r="I41" i="1"/>
  <c r="G137" i="4"/>
  <c r="G108" i="4"/>
  <c r="G109" i="4" s="1"/>
  <c r="G79" i="4"/>
  <c r="G50" i="4"/>
  <c r="G51" i="4" s="1"/>
  <c r="G19" i="4"/>
  <c r="I19" i="4" s="1"/>
  <c r="G149" i="1"/>
  <c r="I149" i="1" s="1"/>
  <c r="G115" i="1"/>
  <c r="I115" i="1" s="1"/>
  <c r="G85" i="1"/>
  <c r="G86" i="1" s="1"/>
  <c r="G53" i="1"/>
  <c r="G54" i="1" s="1"/>
  <c r="I136" i="4"/>
  <c r="I138" i="4" s="1"/>
  <c r="I107" i="4"/>
  <c r="I78" i="4"/>
  <c r="I80" i="4" s="1"/>
  <c r="I49" i="4"/>
  <c r="I84" i="1"/>
  <c r="I86" i="1" s="1"/>
  <c r="I52" i="1"/>
  <c r="I54" i="1" s="1"/>
  <c r="G114" i="4"/>
  <c r="G115" i="4" s="1"/>
  <c r="G84" i="4"/>
  <c r="I60" i="1"/>
  <c r="I61" i="1" s="1"/>
  <c r="H60" i="1"/>
  <c r="H61" i="1" s="1"/>
  <c r="G60" i="1"/>
  <c r="G61" i="1" s="1"/>
  <c r="F60" i="1"/>
  <c r="F61" i="1" s="1"/>
  <c r="F8" i="1"/>
  <c r="G155" i="1"/>
  <c r="G156" i="1" s="1"/>
  <c r="D145" i="4"/>
  <c r="D115" i="4"/>
  <c r="D27" i="4"/>
  <c r="D91" i="1"/>
  <c r="D61" i="1"/>
  <c r="G125" i="4"/>
  <c r="H125" i="4"/>
  <c r="I125" i="4"/>
  <c r="F125" i="4"/>
  <c r="G101" i="4"/>
  <c r="H101" i="4"/>
  <c r="I101" i="4"/>
  <c r="F101" i="4"/>
  <c r="I71" i="4"/>
  <c r="H71" i="4"/>
  <c r="G71" i="4"/>
  <c r="F71" i="4"/>
  <c r="I68" i="4"/>
  <c r="H68" i="4"/>
  <c r="G68" i="4"/>
  <c r="F68" i="4"/>
  <c r="I58" i="4"/>
  <c r="H58" i="4"/>
  <c r="G58" i="4"/>
  <c r="F58" i="4"/>
  <c r="H42" i="4"/>
  <c r="G42" i="4"/>
  <c r="F42" i="4"/>
  <c r="F20" i="4"/>
  <c r="H150" i="1"/>
  <c r="H116" i="1"/>
  <c r="H86" i="1"/>
  <c r="H54" i="1"/>
  <c r="D12" i="1"/>
  <c r="I18" i="1"/>
  <c r="I20" i="1" s="1"/>
  <c r="H20" i="1"/>
  <c r="G19" i="1"/>
  <c r="G20" i="1" s="1"/>
  <c r="F20" i="1"/>
  <c r="I12" i="1"/>
  <c r="H12" i="1"/>
  <c r="G10" i="1"/>
  <c r="G12" i="1" s="1"/>
  <c r="H156" i="1"/>
  <c r="F156" i="1"/>
  <c r="I141" i="1"/>
  <c r="H141" i="1"/>
  <c r="G141" i="1"/>
  <c r="F141" i="1"/>
  <c r="I145" i="4"/>
  <c r="H145" i="4"/>
  <c r="G145" i="4"/>
  <c r="F145" i="4"/>
  <c r="I115" i="4"/>
  <c r="H115" i="4"/>
  <c r="F115" i="4"/>
  <c r="I106" i="1"/>
  <c r="H106" i="1"/>
  <c r="G106" i="1"/>
  <c r="F106" i="1"/>
  <c r="I76" i="1"/>
  <c r="H76" i="1"/>
  <c r="G76" i="1"/>
  <c r="F76" i="1"/>
  <c r="F12" i="1"/>
  <c r="I109" i="4"/>
  <c r="H109" i="4"/>
  <c r="F109" i="4"/>
  <c r="H80" i="4"/>
  <c r="G80" i="4"/>
  <c r="F80" i="4"/>
  <c r="H138" i="4"/>
  <c r="G138" i="4"/>
  <c r="F138" i="4"/>
  <c r="I51" i="4"/>
  <c r="H51" i="4"/>
  <c r="F51" i="4"/>
  <c r="H27" i="4"/>
  <c r="G27" i="4"/>
  <c r="F27" i="4"/>
  <c r="I129" i="4"/>
  <c r="H129" i="4"/>
  <c r="F129" i="4"/>
  <c r="F150" i="1"/>
  <c r="H123" i="1"/>
  <c r="G123" i="1"/>
  <c r="F123" i="1"/>
  <c r="G116" i="1"/>
  <c r="F116" i="1"/>
  <c r="I91" i="1"/>
  <c r="H91" i="1"/>
  <c r="G91" i="1"/>
  <c r="F91" i="1"/>
  <c r="F86" i="1"/>
  <c r="F54" i="1"/>
  <c r="H27" i="1"/>
  <c r="G27" i="1"/>
  <c r="F27" i="1"/>
  <c r="H20" i="4"/>
  <c r="G20" i="4"/>
  <c r="I97" i="4"/>
  <c r="H97" i="4"/>
  <c r="G97" i="4"/>
  <c r="F97" i="4"/>
  <c r="I8" i="4" l="1"/>
  <c r="I20" i="4"/>
  <c r="I150" i="1"/>
  <c r="I123" i="1"/>
  <c r="G150" i="1"/>
  <c r="I116" i="1"/>
  <c r="J92" i="1"/>
  <c r="I155" i="1"/>
  <c r="I156" i="1" s="1"/>
  <c r="I12" i="4"/>
  <c r="J157" i="1"/>
  <c r="J28" i="4"/>
  <c r="J59" i="4"/>
  <c r="J124" i="1"/>
  <c r="J62" i="1"/>
  <c r="F28" i="1"/>
  <c r="J146" i="4"/>
  <c r="J87" i="4"/>
  <c r="J116" i="4"/>
  <c r="I27" i="4"/>
  <c r="D28" i="1"/>
  <c r="H137" i="1"/>
  <c r="H103" i="1"/>
  <c r="H72" i="1"/>
  <c r="H44" i="1"/>
  <c r="F44" i="1"/>
  <c r="H41" i="1"/>
  <c r="H8" i="1"/>
  <c r="F87" i="4"/>
  <c r="I39" i="4"/>
  <c r="H39" i="4"/>
  <c r="H59" i="4" s="1"/>
  <c r="G39" i="4"/>
  <c r="G59" i="4" s="1"/>
  <c r="F39" i="4"/>
  <c r="F59" i="4" s="1"/>
  <c r="H12" i="4"/>
  <c r="G12" i="4"/>
  <c r="F12" i="4"/>
  <c r="H8" i="4"/>
  <c r="G8" i="4"/>
  <c r="F8" i="4"/>
  <c r="I137" i="1"/>
  <c r="G137" i="1"/>
  <c r="F137" i="1"/>
  <c r="I103" i="1"/>
  <c r="G103" i="1"/>
  <c r="F103" i="1"/>
  <c r="I72" i="1"/>
  <c r="G72" i="1"/>
  <c r="G92" i="1" s="1"/>
  <c r="F72" i="1"/>
  <c r="I44" i="1"/>
  <c r="I62" i="1" s="1"/>
  <c r="G44" i="1"/>
  <c r="G41" i="1"/>
  <c r="F41" i="1"/>
  <c r="I8" i="1"/>
  <c r="I28" i="1" s="1"/>
  <c r="G8" i="1"/>
  <c r="G28" i="1" s="1"/>
  <c r="I28" i="4" l="1"/>
  <c r="G28" i="4"/>
  <c r="I59" i="4"/>
  <c r="F28" i="4"/>
  <c r="H28" i="4"/>
  <c r="G62" i="1"/>
  <c r="H62" i="1"/>
  <c r="F62" i="1"/>
  <c r="G87" i="4"/>
  <c r="I87" i="4"/>
  <c r="H116" i="4"/>
  <c r="F92" i="1"/>
  <c r="H92" i="1"/>
  <c r="H87" i="4"/>
  <c r="G116" i="4"/>
  <c r="F157" i="1"/>
  <c r="G157" i="1"/>
  <c r="F116" i="4"/>
  <c r="I116" i="4"/>
  <c r="I92" i="1"/>
  <c r="I157" i="1"/>
  <c r="H157" i="1"/>
  <c r="I146" i="4"/>
  <c r="H146" i="4"/>
  <c r="G146" i="4"/>
  <c r="F146" i="4"/>
  <c r="F124" i="1"/>
  <c r="I124" i="1"/>
  <c r="H28" i="1"/>
  <c r="H124" i="1"/>
  <c r="G124" i="1"/>
</calcChain>
</file>

<file path=xl/sharedStrings.xml><?xml version="1.0" encoding="utf-8"?>
<sst xmlns="http://schemas.openxmlformats.org/spreadsheetml/2006/main" count="2449" uniqueCount="385">
  <si>
    <t>Наименование блюд</t>
  </si>
  <si>
    <t>Выход,г</t>
  </si>
  <si>
    <t>№ сб рец</t>
  </si>
  <si>
    <t>Белки,г</t>
  </si>
  <si>
    <t>Жиры,г</t>
  </si>
  <si>
    <t>1 неделя</t>
  </si>
  <si>
    <t>1 день</t>
  </si>
  <si>
    <t>Чай с сахаром</t>
  </si>
  <si>
    <t>Второй завтрак</t>
  </si>
  <si>
    <t>Первый завтрак</t>
  </si>
  <si>
    <t xml:space="preserve">Сок </t>
  </si>
  <si>
    <t>Обед</t>
  </si>
  <si>
    <t>Итого</t>
  </si>
  <si>
    <t>Хлеб пшеничный</t>
  </si>
  <si>
    <t>Всего</t>
  </si>
  <si>
    <t>2 день</t>
  </si>
  <si>
    <t>Картофельное пюре</t>
  </si>
  <si>
    <t>3 день</t>
  </si>
  <si>
    <t>4 день</t>
  </si>
  <si>
    <t>Капуста тушеная</t>
  </si>
  <si>
    <t>5 день</t>
  </si>
  <si>
    <t>2 неделя</t>
  </si>
  <si>
    <t>Чай с молоком</t>
  </si>
  <si>
    <t>Хлеб ржаной</t>
  </si>
  <si>
    <t>Сок</t>
  </si>
  <si>
    <t>Макаронные изделия отварные</t>
  </si>
  <si>
    <t>Суфле из печени</t>
  </si>
  <si>
    <t>Суп молочный с макаронными изделиями</t>
  </si>
  <si>
    <t>Углеводы,г</t>
  </si>
  <si>
    <t>99, 2005</t>
  </si>
  <si>
    <t>44, 2005</t>
  </si>
  <si>
    <t>При составлении меню использовалась литература:</t>
  </si>
  <si>
    <t>1. "Организация питания детей в дошкольном образовательном  учреждении"</t>
  </si>
  <si>
    <t>Министерство образования и науки Челябинской области. 2005г</t>
  </si>
  <si>
    <t>2. Сборник рецептур блюд и кулинарных изделий для предприятий общественного питания при общеобразовательных школах.</t>
  </si>
  <si>
    <t>Министерство экономического развития и торговли Российской Федерации, 2004г</t>
  </si>
  <si>
    <t>Салат из свеклы с соленым огурцом</t>
  </si>
  <si>
    <t>Уплотненный полдник</t>
  </si>
  <si>
    <t>Кондитерские изделия</t>
  </si>
  <si>
    <t>Фрукты</t>
  </si>
  <si>
    <t>Огурец соленый  порционно</t>
  </si>
  <si>
    <t xml:space="preserve">Салат из свежих помидоров  (по сезону)                        </t>
  </si>
  <si>
    <t xml:space="preserve">Салат из свежих огурцов (по сезону)                                    </t>
  </si>
  <si>
    <t xml:space="preserve">Салат из свежих помидоров (по сезону)        </t>
  </si>
  <si>
    <t>Компот из смеси сухофруктов, витамин С</t>
  </si>
  <si>
    <t>Компот из сухофруктов, витамин С</t>
  </si>
  <si>
    <t>Молоко кипяченое</t>
  </si>
  <si>
    <t>698, 2004</t>
  </si>
  <si>
    <t>70/40</t>
  </si>
  <si>
    <t>смет добавить</t>
  </si>
  <si>
    <t>Фрукт</t>
  </si>
  <si>
    <t>ТТК № 37</t>
  </si>
  <si>
    <t>Яйцо вареное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</si>
  <si>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</si>
  <si>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Печенье</t>
  </si>
  <si>
    <t>Соус молочный сладкий</t>
  </si>
  <si>
    <t>200/5</t>
  </si>
  <si>
    <t>Бигус из говядины</t>
  </si>
  <si>
    <t>Компот из свежих яблок</t>
  </si>
  <si>
    <t>Винегрет овощной</t>
  </si>
  <si>
    <t>Булочка "Домашняя"</t>
  </si>
  <si>
    <t>Сок фруктовый</t>
  </si>
  <si>
    <t>Соус молочный</t>
  </si>
  <si>
    <t>Пирог с капустой и яйцом</t>
  </si>
  <si>
    <t>Котлета   "Домашняя"</t>
  </si>
  <si>
    <t>Суфле из рыбы</t>
  </si>
  <si>
    <t xml:space="preserve">Салат из  свеклы </t>
  </si>
  <si>
    <t>Рагу овощное (3 вариант)</t>
  </si>
  <si>
    <t>Ватрушка с творогом</t>
  </si>
  <si>
    <t>150/4</t>
  </si>
  <si>
    <t>Омлет натуральный</t>
  </si>
  <si>
    <t>Кисель из плодово- ягодного концентрата</t>
  </si>
  <si>
    <t>Фрукт (яблоко)</t>
  </si>
  <si>
    <t xml:space="preserve">Чай с сахаром </t>
  </si>
  <si>
    <t>Хлеб</t>
  </si>
  <si>
    <t>Энергетическая ценность    Кал-ть,ккал</t>
  </si>
  <si>
    <t>Витамин С</t>
  </si>
  <si>
    <t>-</t>
  </si>
  <si>
    <t>251,2005 г</t>
  </si>
  <si>
    <t>ТТК №75</t>
  </si>
  <si>
    <t>ТТК № 77</t>
  </si>
  <si>
    <t>ТТК № 75</t>
  </si>
  <si>
    <t>ТТК № 78</t>
  </si>
  <si>
    <t>Витамин С, мг</t>
  </si>
  <si>
    <t>Печень по - строгановски</t>
  </si>
  <si>
    <t xml:space="preserve"> ТТК 59</t>
  </si>
  <si>
    <t>ТТК № 59</t>
  </si>
  <si>
    <t>Утверждаю:</t>
  </si>
  <si>
    <t>Директор АО "Комбинат</t>
  </si>
  <si>
    <t>социального питания</t>
  </si>
  <si>
    <t>г.Челябинска"</t>
  </si>
  <si>
    <t>Воловой И.Н.________________</t>
  </si>
  <si>
    <t>Примерное  меню</t>
  </si>
  <si>
    <t>для дошкольных учреждений</t>
  </si>
  <si>
    <t xml:space="preserve"> г.Челябинска</t>
  </si>
  <si>
    <t>(дети с 3 до 7 лет)</t>
  </si>
  <si>
    <t xml:space="preserve"> Икра свекольная</t>
  </si>
  <si>
    <t>Для детей с дневным пребыванием  12 час.</t>
  </si>
  <si>
    <t>ТТК №70</t>
  </si>
  <si>
    <t>№ 1/2005</t>
  </si>
  <si>
    <t>Салат картофельный с соленым  огурцом</t>
  </si>
  <si>
    <t>ТТК №611  КСП</t>
  </si>
  <si>
    <t>Хлеб  с  маслом сливочным</t>
  </si>
  <si>
    <t>25/5</t>
  </si>
  <si>
    <t>Хлеб с маслом сливочным и с сыром</t>
  </si>
  <si>
    <t>Свекла ломтик</t>
  </si>
  <si>
    <t>Котлета из минтая</t>
  </si>
  <si>
    <t>Хлеб с  маслом сливочным</t>
  </si>
  <si>
    <t>Каша гречневая вязкая</t>
  </si>
  <si>
    <t>Хлеб  с  маслом сливочным и сыром</t>
  </si>
  <si>
    <t>Хлеб с сыром, маслом сливочным</t>
  </si>
  <si>
    <t>Яблоко</t>
  </si>
  <si>
    <t>Огурец консервир</t>
  </si>
  <si>
    <t>Запеканка из творога с морковью</t>
  </si>
  <si>
    <t>Свекла  (ломтик)</t>
  </si>
  <si>
    <t>Биточки  "Особые"</t>
  </si>
  <si>
    <t>Булочка  "Осенняя"</t>
  </si>
  <si>
    <t xml:space="preserve">Хлеб  с маслом сливочным </t>
  </si>
  <si>
    <t>Хлеб  с сыром, маслом сливочным</t>
  </si>
  <si>
    <t>Кефир 2,5 %</t>
  </si>
  <si>
    <t xml:space="preserve">Запеканка из творога с манной крупой </t>
  </si>
  <si>
    <t>25/6/10,5</t>
  </si>
  <si>
    <t xml:space="preserve">Салат из моркови с зеленым горошком </t>
  </si>
  <si>
    <t>Рыба тушеная с овощами</t>
  </si>
  <si>
    <t>80/60</t>
  </si>
  <si>
    <t>Салат из моркови с яблоками</t>
  </si>
  <si>
    <t>25/10,5/6</t>
  </si>
  <si>
    <t>Рагу овощное 3 вар</t>
  </si>
  <si>
    <t xml:space="preserve">Компот из сухофруктов </t>
  </si>
  <si>
    <t xml:space="preserve">Хлеб с сыром, маслом сливочным </t>
  </si>
  <si>
    <t>Сосиска отварная</t>
  </si>
  <si>
    <r>
      <t xml:space="preserve">Жаркое из птицы </t>
    </r>
    <r>
      <rPr>
        <b/>
        <sz val="11"/>
        <rFont val="Times New Roman"/>
        <family val="1"/>
        <charset val="204"/>
      </rPr>
      <t>"Петушок"</t>
    </r>
  </si>
  <si>
    <t xml:space="preserve"> ТТК№ 212</t>
  </si>
  <si>
    <t>Жаркое  "Петушок"</t>
  </si>
  <si>
    <t>ТТК № 212</t>
  </si>
  <si>
    <t>ТТК №659</t>
  </si>
  <si>
    <t>134/2005</t>
  </si>
  <si>
    <t>ТТК № 360</t>
  </si>
  <si>
    <t>ТТК № 62</t>
  </si>
  <si>
    <t>221,3  вар,2005</t>
  </si>
  <si>
    <t>ТТК 61</t>
  </si>
  <si>
    <t>ТТК № 330</t>
  </si>
  <si>
    <t>ТТК 659</t>
  </si>
  <si>
    <t>ТТК № 61</t>
  </si>
  <si>
    <t>ТТК62</t>
  </si>
  <si>
    <t>289, 20054</t>
  </si>
  <si>
    <t>Борщ с капустой и картофелем с говядиной, со сметаной</t>
  </si>
  <si>
    <t xml:space="preserve">Биточки "Особые" </t>
  </si>
  <si>
    <t xml:space="preserve">Щи с капустой и картофелем  со сметаной </t>
  </si>
  <si>
    <t xml:space="preserve">Чай с молоком </t>
  </si>
  <si>
    <t>250/29/15</t>
  </si>
  <si>
    <t>Молоко заварное</t>
  </si>
  <si>
    <t>ТТК № 88</t>
  </si>
  <si>
    <t>Какао на молоке</t>
  </si>
  <si>
    <t>ТТК № 87</t>
  </si>
  <si>
    <t>250/10</t>
  </si>
  <si>
    <t xml:space="preserve">Свекольник  со сметаной </t>
  </si>
  <si>
    <t>Суп картофельный с бобовыми, с мясом птицы</t>
  </si>
  <si>
    <t>Салат из отварной моркови с яблоками</t>
  </si>
  <si>
    <t>250/29/5</t>
  </si>
  <si>
    <t xml:space="preserve">Икра морковная </t>
  </si>
  <si>
    <t>250/8,5</t>
  </si>
  <si>
    <t>250/5</t>
  </si>
  <si>
    <t>ТТК № 13</t>
  </si>
  <si>
    <t>Суп картофельный с клецками с мясом птицы</t>
  </si>
  <si>
    <t>250/25/8,5</t>
  </si>
  <si>
    <t>ТТК № 132</t>
  </si>
  <si>
    <t>Суп картофельный с макаронными изделиями с мясом птицы</t>
  </si>
  <si>
    <t>Щи из свежей капусты  со сметаной</t>
  </si>
  <si>
    <t>200/10</t>
  </si>
  <si>
    <t>200/6</t>
  </si>
  <si>
    <t>Икра морковная</t>
  </si>
  <si>
    <t>Картофель  тушеный в молоке</t>
  </si>
  <si>
    <t>ТТК № 14</t>
  </si>
  <si>
    <t>Рассольник ленинградский с говядиной тушеной, со сметаной</t>
  </si>
  <si>
    <t xml:space="preserve">Свекольник на курином бульоне со сметаной </t>
  </si>
  <si>
    <t>Борщ с капустой и картофелем с говядиной тушеной , со сметаной</t>
  </si>
  <si>
    <t>№ 218,2005</t>
  </si>
  <si>
    <t>Каша молочная пшенная жидкая с маслом сливочным</t>
  </si>
  <si>
    <t>Каша молочная ячневая жидкая  с маслом сливочным</t>
  </si>
  <si>
    <t>Каша кукурузная молочная жидкая с маслом сливочным</t>
  </si>
  <si>
    <t>Каша молочная жидкая "Дружба" с маслом сливочным</t>
  </si>
  <si>
    <t>Каша молочная геркулесовая жидкая с маслом сливочным</t>
  </si>
  <si>
    <t>Каша  молочная манная жидкая с маслом сливочным</t>
  </si>
  <si>
    <t>Каша пшенная молочная жидкая  с маслом сливочным</t>
  </si>
  <si>
    <t>Каша  молочная ячневая  жидкая с маслом сливочным</t>
  </si>
  <si>
    <t>Каша молочная рисовая жидкая  с маслом сливочным</t>
  </si>
  <si>
    <t>Каша  молочная ячневая жидкая  с маслом сливочным</t>
  </si>
  <si>
    <t>Плов из мяса птицы</t>
  </si>
  <si>
    <t>ТТК № 211</t>
  </si>
  <si>
    <t>ТТК№89</t>
  </si>
  <si>
    <t>Запеканка из творога  с морковью</t>
  </si>
  <si>
    <t>Соус сметанный</t>
  </si>
  <si>
    <t>ТТК № 90</t>
  </si>
  <si>
    <t>Директор МБОУ "СОШ № 58</t>
  </si>
  <si>
    <t>г.Челябинска</t>
  </si>
  <si>
    <t>О.Ю.Алексеева_____________</t>
  </si>
  <si>
    <t>Салат из свежих огурцов с репчатым луком(по сезону)</t>
  </si>
  <si>
    <t>ТТК № 257</t>
  </si>
  <si>
    <t>ТТК № 101</t>
  </si>
  <si>
    <t xml:space="preserve">Биточки "по - домашнему" </t>
  </si>
  <si>
    <t>Рагу овощное</t>
  </si>
  <si>
    <t>25/5/10,5</t>
  </si>
  <si>
    <t>200/4</t>
  </si>
  <si>
    <t xml:space="preserve">Свекольник  со сметаной, с фрикадельками </t>
  </si>
  <si>
    <t>250/10/10</t>
  </si>
  <si>
    <t>Рис с овощами</t>
  </si>
  <si>
    <t>Каша молочная манная жидкая  с маслом сливочным</t>
  </si>
  <si>
    <t>Напиток из свежих фруктов</t>
  </si>
  <si>
    <t>Салат из свежей  капусты(по сезону) или</t>
  </si>
  <si>
    <t>Печень в молочном соусе</t>
  </si>
  <si>
    <t>Голубцы ленивые</t>
  </si>
  <si>
    <t>70/25</t>
  </si>
  <si>
    <t>250/15</t>
  </si>
  <si>
    <t>Рассольник ленинградский с фрикадельками, со сметаной</t>
  </si>
  <si>
    <t xml:space="preserve">Щи с капустой и картофелем, с фрикадельками  со сметаной </t>
  </si>
  <si>
    <t>Макароны с овощами</t>
  </si>
  <si>
    <t>Кисель из плодово- ягодного концентрата, вит С</t>
  </si>
  <si>
    <t>Жаркое по - домашнему</t>
  </si>
  <si>
    <t>ТТК 95</t>
  </si>
  <si>
    <t>3 неделя</t>
  </si>
  <si>
    <t>Или Салат из свеклы с соленым огурцом(по сезону)</t>
  </si>
  <si>
    <t>4 неделя</t>
  </si>
  <si>
    <t xml:space="preserve">Свекольник с фрикадельками со сметаной </t>
  </si>
  <si>
    <t>250/10/15</t>
  </si>
  <si>
    <t>Суп картофельный с макаронными изделиями на курином бульоне</t>
  </si>
  <si>
    <t>Бигус с мясом птицы</t>
  </si>
  <si>
    <t>Суп картофельный с бобовыми на курином бульоне</t>
  </si>
  <si>
    <t xml:space="preserve">Плов из птицы </t>
  </si>
  <si>
    <t>Котлета по - деревенски</t>
  </si>
  <si>
    <t>Биточки "Солнышко"</t>
  </si>
  <si>
    <t>Котлеты рыбные "Любительские"</t>
  </si>
  <si>
    <t>Борщ с капустой и картофелем с фрикадельками, со сметаной</t>
  </si>
  <si>
    <t>г. Челябинска"</t>
  </si>
  <si>
    <t>241-2,2005</t>
  </si>
  <si>
    <t>ТТК 204</t>
  </si>
  <si>
    <t>ТТК №66</t>
  </si>
  <si>
    <t>70/20</t>
  </si>
  <si>
    <t>ТТК № 360,218</t>
  </si>
  <si>
    <t>Суфле из печени с соусом молочным</t>
  </si>
  <si>
    <t>147-1</t>
  </si>
  <si>
    <t>ТТК №64</t>
  </si>
  <si>
    <t>10,05/5,2005</t>
  </si>
  <si>
    <t>Салат из свежих огурцов с репчатым луком(по сезону)(07-08) или</t>
  </si>
  <si>
    <t>Директор</t>
  </si>
  <si>
    <t>ТТК № 847,01</t>
  </si>
  <si>
    <t>ТТК № 112</t>
  </si>
  <si>
    <t>Напиток из сухофруктов, витамин С</t>
  </si>
  <si>
    <t>ТТК № 88-1</t>
  </si>
  <si>
    <t>Напиток из свежих яблок</t>
  </si>
  <si>
    <t>ТТК62-1</t>
  </si>
  <si>
    <t>Свекла  отварная ломтик (соломка)</t>
  </si>
  <si>
    <t>№ 136,2005</t>
  </si>
  <si>
    <t>24-1,2005</t>
  </si>
  <si>
    <t>Салат "Светофор"(по сезону) или</t>
  </si>
  <si>
    <t>240-1</t>
  </si>
  <si>
    <t>Фрикадельки рыбные в соусе молочном</t>
  </si>
  <si>
    <t>Булочка  "Бархатная"</t>
  </si>
  <si>
    <t>Пюре морковное</t>
  </si>
  <si>
    <t>Фрукт (яблоки)</t>
  </si>
  <si>
    <t>20/5/7,5</t>
  </si>
  <si>
    <t>60/30</t>
  </si>
  <si>
    <t>200/8,5</t>
  </si>
  <si>
    <t>200/5/5</t>
  </si>
  <si>
    <t xml:space="preserve">Тефтели мясные с соусом </t>
  </si>
  <si>
    <t>60/17</t>
  </si>
  <si>
    <t>150/3</t>
  </si>
  <si>
    <t>200/10/5</t>
  </si>
  <si>
    <t>241-1,2005</t>
  </si>
  <si>
    <t>200/10/15</t>
  </si>
  <si>
    <t>200/15</t>
  </si>
  <si>
    <t>200/10/10</t>
  </si>
  <si>
    <t>(дети с 1,5 до 3 лет)</t>
  </si>
  <si>
    <t xml:space="preserve">Фрукт </t>
  </si>
  <si>
    <t>_____________</t>
  </si>
  <si>
    <t>105-00 4 приема пищи</t>
  </si>
  <si>
    <t>147-1,05</t>
  </si>
  <si>
    <t xml:space="preserve"> ТТК № 95</t>
  </si>
  <si>
    <t>ТТК № 46</t>
  </si>
  <si>
    <t>2005 гТТК № 360,218</t>
  </si>
  <si>
    <t>ТТК № 336</t>
  </si>
  <si>
    <t>ТТК №359</t>
  </si>
  <si>
    <t>Бутерброд  с  маслом сливочным</t>
  </si>
  <si>
    <t xml:space="preserve">Салат из свежих огурцов с репчатым луком(по сезону) </t>
  </si>
  <si>
    <t>Запеканка капустная с мясом</t>
  </si>
  <si>
    <t>Напиток кисломолочный с сахаром</t>
  </si>
  <si>
    <t>180/5</t>
  </si>
  <si>
    <t>Сырники из творога с повидлом</t>
  </si>
  <si>
    <t>150/15</t>
  </si>
  <si>
    <t>Печенье кременкульское</t>
  </si>
  <si>
    <t>Булочка "Дорожная"</t>
  </si>
  <si>
    <t>Салат из свеклы отварной</t>
  </si>
  <si>
    <t>Пудинг из творога с рисом, соус молочный сладкий</t>
  </si>
  <si>
    <t>140/30</t>
  </si>
  <si>
    <t>127/224</t>
  </si>
  <si>
    <t>Морковь в сметанном соусе</t>
  </si>
  <si>
    <t>Мясной хлебец "Деликатесный"</t>
  </si>
  <si>
    <t>Пюре из моркови</t>
  </si>
  <si>
    <t>Рыба запеченная с картофелем</t>
  </si>
  <si>
    <t>Макароны запеченные с сыром</t>
  </si>
  <si>
    <t>Запеканка творожно - морковная с соусом молочным</t>
  </si>
  <si>
    <t>Котлеты рубленные запеченные с соусом молочным</t>
  </si>
  <si>
    <t>Макаронник с печенью</t>
  </si>
  <si>
    <t>Запеканка из творога с соусом молочным</t>
  </si>
  <si>
    <t>150/30</t>
  </si>
  <si>
    <t>ТТК № 117,224</t>
  </si>
  <si>
    <t>Крокеты детские запеченные</t>
  </si>
  <si>
    <t>289, 2005</t>
  </si>
  <si>
    <t>Запеканка из печени с рисом</t>
  </si>
  <si>
    <t>250/5/15</t>
  </si>
  <si>
    <t>Крупеник</t>
  </si>
  <si>
    <t>Бигус с мясом</t>
  </si>
  <si>
    <t>Запеканка из творога с соусом молочным сладким</t>
  </si>
  <si>
    <t>Омлет паровой с мясом</t>
  </si>
  <si>
    <t>Бутерброд  с маслом сливочным и с сыром</t>
  </si>
  <si>
    <t>Бутерброд с  маслом сливочным</t>
  </si>
  <si>
    <t>Бутерброд с маслом сливочным и с сыром</t>
  </si>
  <si>
    <t>Суп картофельный с крупой</t>
  </si>
  <si>
    <t xml:space="preserve">Суп картофельный с крупой </t>
  </si>
  <si>
    <t>Салат из  моркови</t>
  </si>
  <si>
    <t>250/10/5</t>
  </si>
  <si>
    <t>Свекольник  со сметаной, с фрикадельками</t>
  </si>
  <si>
    <t>Икра морковная ( по сезону)</t>
  </si>
  <si>
    <t>Напиток из плодов или ягод сушеных , витамин С</t>
  </si>
  <si>
    <t>Суп "Крестьянский", со сметаной</t>
  </si>
  <si>
    <t>Напиток из плодов или ягод сушеных, витамин С</t>
  </si>
  <si>
    <t xml:space="preserve">Винегрет овощной </t>
  </si>
  <si>
    <t>Салат картофельный с огурцом соленым (по сезону с 01.03)</t>
  </si>
  <si>
    <t>Суп картофельный с крупой с фрикадельками</t>
  </si>
  <si>
    <t xml:space="preserve">Свекла  отварная </t>
  </si>
  <si>
    <t>Салат из моркови                                   Или огурец свежий, порционно (по сезону)</t>
  </si>
  <si>
    <t>Суп крестьянский с крупой со сметаной</t>
  </si>
  <si>
    <t>Пирожок печеный</t>
  </si>
  <si>
    <t xml:space="preserve"> Икра морковная (по сезону)</t>
  </si>
  <si>
    <t>250/25/5</t>
  </si>
  <si>
    <t xml:space="preserve"> Салат из  отварной моркови с зеленым горошком(с 01.03) или</t>
  </si>
  <si>
    <t>Салат из свежей капусты до 01.03</t>
  </si>
  <si>
    <t xml:space="preserve">  Салат из  свеклы и моркови </t>
  </si>
  <si>
    <t>212/204,05</t>
  </si>
  <si>
    <t>Или Салат из свеклы(по сезону)</t>
  </si>
  <si>
    <t>Каша молочная ячневая жидкая с маслом сливочным</t>
  </si>
  <si>
    <t>Свекольник с фрикадельками со сметаной</t>
  </si>
  <si>
    <t xml:space="preserve">Булочка </t>
  </si>
  <si>
    <t xml:space="preserve">Напиток кисломолочный </t>
  </si>
  <si>
    <t>20/4</t>
  </si>
  <si>
    <t>ТТК № 61-1</t>
  </si>
  <si>
    <t>95/10</t>
  </si>
  <si>
    <t>90, 2005</t>
  </si>
  <si>
    <t>180/4</t>
  </si>
  <si>
    <t>120/15</t>
  </si>
  <si>
    <t>160/3</t>
  </si>
  <si>
    <t>Каша манная молочная жидкая  с маслом сливочным</t>
  </si>
  <si>
    <t>Итого:</t>
  </si>
  <si>
    <t>13/224</t>
  </si>
  <si>
    <t>200/18/5</t>
  </si>
  <si>
    <t>Котлета "Домашняя"</t>
  </si>
  <si>
    <t>ТТК № 52</t>
  </si>
  <si>
    <t>Салат из свежих огурцов с репчатым луком(по сезону)или</t>
  </si>
  <si>
    <t>200/5/15</t>
  </si>
  <si>
    <t>6,,16</t>
  </si>
  <si>
    <t>100/15</t>
  </si>
  <si>
    <t>150/2</t>
  </si>
  <si>
    <t>Салат из моркови с яблоком</t>
  </si>
  <si>
    <t>Свекла  отварная ломтик (соломка) или</t>
  </si>
  <si>
    <t>Салат из  моркови с яблоком</t>
  </si>
  <si>
    <t>Щи с капустой и картофелем,со сметаной</t>
  </si>
  <si>
    <t>Щи с капустой и картофелем , со сметаной</t>
  </si>
  <si>
    <t xml:space="preserve">Щи с капустой и картофелем, со сметаной </t>
  </si>
  <si>
    <t xml:space="preserve">Щи с капустой и картофелем,  со сметаной </t>
  </si>
  <si>
    <t>2. Сборник рецептур блюд и кулинарных изделий для предприятий общественного питания при общеобразовательных учреждениях.</t>
  </si>
  <si>
    <t>3.Сборник рецептур на продукцию питания детей в дошкольных образовательных организациях/Под ред. М.П. Могильльного и В.А. Тутельяна.-М.:ДеЛи плюс, 2016.- 640 с.</t>
  </si>
  <si>
    <t>4.Технико -технологические карты, разработанные специалистами предприятия.</t>
  </si>
  <si>
    <t>5.Министерство образования и науки Челябинской области "Организация питания детей в дошкольном образовательном учреждении"  2006г. под редакцией В.В. Садырина, составитель Г.Н. Панкратова;</t>
  </si>
  <si>
    <t>6.Сборник рецептур 2000 г.под редакцией Лапшиной В.Т.</t>
  </si>
  <si>
    <t>7.Сборник рецептур 2004 г.под редакцией Лапшиной В.Т.</t>
  </si>
  <si>
    <t>Директор АО "Уральский</t>
  </si>
  <si>
    <t>комбинат питания"</t>
  </si>
  <si>
    <t>Биточки рыбные с овощами</t>
  </si>
  <si>
    <t>Сложный гарнир(картофель отварной, пюре из свеклы)</t>
  </si>
  <si>
    <t>ДС:</t>
  </si>
  <si>
    <t>58, 144,105,131,59,84,93,оц1,335,157,12,оц 4</t>
  </si>
  <si>
    <t>2019 г.</t>
  </si>
  <si>
    <t>105 руб</t>
  </si>
  <si>
    <t>Оц 4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</si>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</sst>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6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7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7" fillId="2" borderId="6" xfId="0" applyFont="1" applyFill="1" applyBorder="1"/>
    <xf numFmtId="0" fontId="7" fillId="2" borderId="4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3" fillId="2" borderId="11" xfId="0" applyFont="1" applyFill="1" applyBorder="1"/>
    <xf numFmtId="0" fontId="14" fillId="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2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6" fillId="0" borderId="9" xfId="0" applyFont="1" applyFill="1" applyBorder="1" applyAlignment="1"/>
    <xf numFmtId="0" fontId="6" fillId="0" borderId="8" xfId="0" applyFont="1" applyFill="1" applyBorder="1" applyAlignment="1"/>
    <xf numFmtId="0" fontId="6" fillId="0" borderId="10" xfId="0" applyFont="1" applyFill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2" fontId="7" fillId="0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11" fillId="0" borderId="7" xfId="0" applyFont="1" applyFill="1" applyBorder="1"/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4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2" borderId="4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12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wrapText="1"/>
    </xf>
    <xf numFmtId="0" fontId="0" fillId="2" borderId="0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19" fillId="0" borderId="0" xfId="0" applyFont="1"/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6" fillId="2" borderId="1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vertical="top" wrapText="1"/>
    </xf>
    <xf numFmtId="0" fontId="12" fillId="2" borderId="8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shrinkToFit="1"/>
    </xf>
    <xf numFmtId="0" fontId="6" fillId="2" borderId="9" xfId="0" applyFont="1" applyFill="1" applyBorder="1" applyAlignment="1">
      <alignment horizontal="center" shrinkToFit="1"/>
    </xf>
    <xf numFmtId="0" fontId="6" fillId="2" borderId="10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2" fontId="3" fillId="2" borderId="8" xfId="0" applyNumberFormat="1" applyFont="1" applyFill="1" applyBorder="1" applyAlignment="1">
      <alignment horizontal="left" wrapText="1"/>
    </xf>
    <xf numFmtId="2" fontId="3" fillId="2" borderId="9" xfId="0" applyNumberFormat="1" applyFont="1" applyFill="1" applyBorder="1" applyAlignment="1">
      <alignment horizontal="left" wrapText="1"/>
    </xf>
    <xf numFmtId="2" fontId="3" fillId="2" borderId="10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vertical="top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438158</xdr:colOff>
      <xdr:row>7</xdr:row>
      <xdr:rowOff>38639</xdr:rowOff>
    </xdr:from>
    <xdr:ext cx="4261740" cy="837121"/>
    <xdr:sp macro="" textlink="">
      <xdr:nvSpPr>
        <xdr:cNvPr id="2" name="Прямоугольник 1" hidden="1"/>
        <xdr:cNvSpPr/>
      </xdr:nvSpPr>
      <xdr:spPr>
        <a:xfrm>
          <a:off x="1657358" y="1725925"/>
          <a:ext cx="4261740" cy="83712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Текст надписи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438158</xdr:colOff>
      <xdr:row>435</xdr:row>
      <xdr:rowOff>38639</xdr:rowOff>
    </xdr:from>
    <xdr:ext cx="4261740" cy="837121"/>
    <xdr:sp macro="" textlink="">
      <xdr:nvSpPr>
        <xdr:cNvPr id="2" name="Прямоугольник 1" hidden="1"/>
        <xdr:cNvSpPr/>
      </xdr:nvSpPr>
      <xdr:spPr>
        <a:xfrm>
          <a:off x="1718318" y="93962759"/>
          <a:ext cx="4261740" cy="83712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Текст надписи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438158</xdr:colOff>
      <xdr:row>429</xdr:row>
      <xdr:rowOff>38639</xdr:rowOff>
    </xdr:from>
    <xdr:ext cx="4261740" cy="837121"/>
    <xdr:sp macro="" textlink="">
      <xdr:nvSpPr>
        <xdr:cNvPr id="2" name="Прямоугольник 1" hidden="1"/>
        <xdr:cNvSpPr/>
      </xdr:nvSpPr>
      <xdr:spPr>
        <a:xfrm>
          <a:off x="1657358" y="94252319"/>
          <a:ext cx="4261740" cy="83712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Текст надписи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kareva\Desktop\2019%20&#1084;&#1077;&#1085;&#1102;%20&#1076;&#1086;&#1091;\2019%20&#1089;&#1072;&#1076;&#1099;\&#1052;&#1077;&#1085;&#1102;%20&#1076;&#1083;&#1103;%20&#1074;&#1099;&#1074;&#1077;&#1096;&#1080;&#1074;&#1072;&#1085;&#1080;&#1103;\&#1054;&#106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приема пищи 59,84  19 г"/>
      <sheetName val="4 приема пищи оц 1 19 г"/>
      <sheetName val="123 01.03"/>
      <sheetName val="Лист3"/>
      <sheetName val="123 01.06 (2)"/>
      <sheetName val="123 01.09"/>
      <sheetName val="123 01.07 (3)"/>
    </sheetNames>
    <sheetDataSet>
      <sheetData sheetId="0">
        <row r="41">
          <cell r="AK41">
            <v>180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topLeftCell="A127" zoomScale="70" zoomScaleNormal="70" workbookViewId="0">
      <selection activeCell="A130" sqref="A130:J157"/>
    </sheetView>
  </sheetViews>
  <sheetFormatPr defaultColWidth="8.85546875" defaultRowHeight="15" x14ac:dyDescent="0.25"/>
  <cols>
    <col min="1" max="2" width="8.85546875" style="69"/>
    <col min="3" max="3" width="23.85546875" style="69" customWidth="1"/>
    <col min="4" max="4" width="10.5703125" style="128" customWidth="1"/>
    <col min="5" max="5" width="12.7109375" style="128" customWidth="1"/>
    <col min="6" max="6" width="11.42578125" style="129" customWidth="1"/>
    <col min="7" max="7" width="13.28515625" style="129" customWidth="1"/>
    <col min="8" max="8" width="13.7109375" style="129" customWidth="1"/>
    <col min="9" max="9" width="15.42578125" style="129" customWidth="1"/>
    <col min="10" max="10" width="11.5703125" style="128" customWidth="1"/>
    <col min="11" max="16384" width="8.85546875" style="69"/>
  </cols>
  <sheetData>
    <row r="1" spans="1:13" ht="40.9" customHeight="1" x14ac:dyDescent="0.25">
      <c r="A1" s="223" t="s">
        <v>0</v>
      </c>
      <c r="B1" s="223"/>
      <c r="C1" s="223"/>
      <c r="D1" s="66" t="s">
        <v>1</v>
      </c>
      <c r="E1" s="66" t="s">
        <v>2</v>
      </c>
      <c r="F1" s="67" t="s">
        <v>3</v>
      </c>
      <c r="G1" s="67" t="s">
        <v>4</v>
      </c>
      <c r="H1" s="67" t="s">
        <v>28</v>
      </c>
      <c r="I1" s="68" t="s">
        <v>75</v>
      </c>
      <c r="J1" s="66" t="s">
        <v>76</v>
      </c>
    </row>
    <row r="2" spans="1:13" x14ac:dyDescent="0.25">
      <c r="A2" s="214" t="s">
        <v>5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3" ht="12" customHeight="1" x14ac:dyDescent="0.25">
      <c r="A3" s="214" t="s">
        <v>6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3" ht="15.6" customHeight="1" x14ac:dyDescent="0.25">
      <c r="A4" s="214" t="s">
        <v>9</v>
      </c>
      <c r="B4" s="214"/>
      <c r="C4" s="214"/>
      <c r="D4" s="214"/>
      <c r="E4" s="214"/>
      <c r="F4" s="214"/>
      <c r="G4" s="214"/>
      <c r="H4" s="214"/>
      <c r="I4" s="214"/>
      <c r="J4" s="70"/>
    </row>
    <row r="5" spans="1:13" ht="20.45" customHeight="1" x14ac:dyDescent="0.25">
      <c r="A5" s="213" t="s">
        <v>27</v>
      </c>
      <c r="B5" s="213"/>
      <c r="C5" s="213"/>
      <c r="D5" s="71">
        <v>200</v>
      </c>
      <c r="E5" s="71" t="s">
        <v>30</v>
      </c>
      <c r="F5" s="72">
        <v>6.12</v>
      </c>
      <c r="G5" s="72">
        <v>5.33</v>
      </c>
      <c r="H5" s="72">
        <v>29.6</v>
      </c>
      <c r="I5" s="72">
        <v>189.29</v>
      </c>
      <c r="J5" s="73">
        <v>0</v>
      </c>
    </row>
    <row r="6" spans="1:13" ht="16.149999999999999" customHeight="1" x14ac:dyDescent="0.25">
      <c r="A6" s="215" t="s">
        <v>73</v>
      </c>
      <c r="B6" s="215"/>
      <c r="C6" s="215"/>
      <c r="D6" s="74">
        <v>180</v>
      </c>
      <c r="E6" s="71" t="s">
        <v>173</v>
      </c>
      <c r="F6" s="75">
        <v>2.1</v>
      </c>
      <c r="G6" s="75">
        <v>1.95</v>
      </c>
      <c r="H6" s="75">
        <v>15.57</v>
      </c>
      <c r="I6" s="75">
        <v>88.21</v>
      </c>
      <c r="J6" s="73">
        <v>0</v>
      </c>
    </row>
    <row r="7" spans="1:13" x14ac:dyDescent="0.25">
      <c r="A7" s="220" t="s">
        <v>102</v>
      </c>
      <c r="B7" s="220"/>
      <c r="C7" s="220"/>
      <c r="D7" s="76" t="s">
        <v>103</v>
      </c>
      <c r="E7" s="71" t="s">
        <v>143</v>
      </c>
      <c r="F7" s="75">
        <v>2.15</v>
      </c>
      <c r="G7" s="75">
        <v>1.93</v>
      </c>
      <c r="H7" s="75">
        <v>25.7</v>
      </c>
      <c r="I7" s="75">
        <v>131</v>
      </c>
      <c r="J7" s="73">
        <v>0</v>
      </c>
    </row>
    <row r="8" spans="1:13" x14ac:dyDescent="0.25">
      <c r="A8" s="204" t="s">
        <v>12</v>
      </c>
      <c r="B8" s="205"/>
      <c r="C8" s="206"/>
      <c r="D8" s="71">
        <f>D5+D6+25+5</f>
        <v>410</v>
      </c>
      <c r="E8" s="71"/>
      <c r="F8" s="67">
        <f>SUM(F5:F7)</f>
        <v>10.370000000000001</v>
      </c>
      <c r="G8" s="67">
        <f>SUM(G5:G7)</f>
        <v>9.2100000000000009</v>
      </c>
      <c r="H8" s="67">
        <f>SUM(H5:H7)</f>
        <v>70.87</v>
      </c>
      <c r="I8" s="67">
        <f>SUM(I5:I7)</f>
        <v>408.5</v>
      </c>
      <c r="J8" s="67">
        <f>SUM(J5:J7)</f>
        <v>0</v>
      </c>
    </row>
    <row r="9" spans="1:13" x14ac:dyDescent="0.25">
      <c r="A9" s="214" t="s">
        <v>8</v>
      </c>
      <c r="B9" s="214"/>
      <c r="C9" s="214"/>
      <c r="D9" s="214"/>
      <c r="E9" s="214"/>
      <c r="F9" s="214"/>
      <c r="G9" s="214"/>
      <c r="H9" s="214"/>
      <c r="I9" s="214"/>
      <c r="J9" s="70"/>
    </row>
    <row r="10" spans="1:13" ht="16.149999999999999" customHeight="1" x14ac:dyDescent="0.25">
      <c r="A10" s="225" t="s">
        <v>119</v>
      </c>
      <c r="B10" s="225"/>
      <c r="C10" s="225"/>
      <c r="D10" s="77">
        <v>180</v>
      </c>
      <c r="E10" s="71" t="s">
        <v>78</v>
      </c>
      <c r="F10" s="75">
        <v>5.76</v>
      </c>
      <c r="G10" s="75">
        <f>3.5*1.8</f>
        <v>6.3</v>
      </c>
      <c r="H10" s="75">
        <v>10.44</v>
      </c>
      <c r="I10" s="75">
        <v>108</v>
      </c>
      <c r="J10" s="73">
        <v>0.7</v>
      </c>
    </row>
    <row r="11" spans="1:13" ht="16.899999999999999" customHeight="1" x14ac:dyDescent="0.25">
      <c r="A11" s="198" t="s">
        <v>54</v>
      </c>
      <c r="B11" s="199"/>
      <c r="C11" s="200"/>
      <c r="D11" s="71">
        <v>30</v>
      </c>
      <c r="E11" s="71" t="s">
        <v>85</v>
      </c>
      <c r="F11" s="75">
        <v>0.34</v>
      </c>
      <c r="G11" s="75">
        <v>2.8</v>
      </c>
      <c r="H11" s="75">
        <v>5.16</v>
      </c>
      <c r="I11" s="75">
        <v>40</v>
      </c>
      <c r="J11" s="73">
        <v>0</v>
      </c>
    </row>
    <row r="12" spans="1:13" ht="15.6" customHeight="1" x14ac:dyDescent="0.25">
      <c r="A12" s="204" t="s">
        <v>12</v>
      </c>
      <c r="B12" s="205"/>
      <c r="C12" s="206"/>
      <c r="D12" s="71">
        <f>SUM(D10:D11)</f>
        <v>210</v>
      </c>
      <c r="E12" s="71"/>
      <c r="F12" s="67">
        <f>SUM(F10:F11)</f>
        <v>6.1</v>
      </c>
      <c r="G12" s="67">
        <f>SUM(G10:G11)</f>
        <v>9.1</v>
      </c>
      <c r="H12" s="67">
        <f>SUM(H10:H11)</f>
        <v>15.6</v>
      </c>
      <c r="I12" s="67">
        <f>SUM(I10:I11)</f>
        <v>148</v>
      </c>
      <c r="J12" s="78">
        <f>SUM(J10:J11)</f>
        <v>0.7</v>
      </c>
    </row>
    <row r="13" spans="1:13" ht="13.15" customHeight="1" x14ac:dyDescent="0.25">
      <c r="A13" s="214" t="s">
        <v>11</v>
      </c>
      <c r="B13" s="214"/>
      <c r="C13" s="214"/>
      <c r="D13" s="214"/>
      <c r="E13" s="214"/>
      <c r="F13" s="214"/>
      <c r="G13" s="214"/>
      <c r="H13" s="214"/>
      <c r="I13" s="214"/>
      <c r="J13" s="70"/>
    </row>
    <row r="14" spans="1:13" x14ac:dyDescent="0.25">
      <c r="A14" s="79" t="s">
        <v>36</v>
      </c>
      <c r="B14" s="79"/>
      <c r="C14" s="79"/>
      <c r="D14" s="71">
        <v>60</v>
      </c>
      <c r="E14" s="71">
        <v>21.200500000000002</v>
      </c>
      <c r="F14" s="80">
        <v>0.77</v>
      </c>
      <c r="G14" s="80">
        <v>3.05</v>
      </c>
      <c r="H14" s="80">
        <v>4.29</v>
      </c>
      <c r="I14" s="80">
        <v>47.72</v>
      </c>
      <c r="J14" s="73">
        <v>12.3</v>
      </c>
    </row>
    <row r="15" spans="1:13" ht="13.9" customHeight="1" x14ac:dyDescent="0.25">
      <c r="A15" s="236" t="s">
        <v>148</v>
      </c>
      <c r="B15" s="236"/>
      <c r="C15" s="236"/>
      <c r="D15" s="74" t="s">
        <v>155</v>
      </c>
      <c r="E15" s="71">
        <v>56.200499999999998</v>
      </c>
      <c r="F15" s="75">
        <v>3.54</v>
      </c>
      <c r="G15" s="75">
        <v>3.89</v>
      </c>
      <c r="H15" s="75">
        <v>9.02</v>
      </c>
      <c r="I15" s="75">
        <v>126.3</v>
      </c>
      <c r="J15" s="73">
        <v>25.6</v>
      </c>
    </row>
    <row r="16" spans="1:13" ht="14.45" customHeight="1" x14ac:dyDescent="0.25">
      <c r="A16" s="81" t="s">
        <v>131</v>
      </c>
      <c r="B16" s="81"/>
      <c r="C16" s="81"/>
      <c r="D16" s="82">
        <v>237.5</v>
      </c>
      <c r="E16" s="83" t="s">
        <v>132</v>
      </c>
      <c r="F16" s="75">
        <v>17.84</v>
      </c>
      <c r="G16" s="75">
        <v>3.41</v>
      </c>
      <c r="H16" s="75">
        <v>5.32</v>
      </c>
      <c r="I16" s="75">
        <v>165.32</v>
      </c>
      <c r="J16" s="73">
        <v>11.5</v>
      </c>
      <c r="M16" s="69" t="s">
        <v>53</v>
      </c>
    </row>
    <row r="17" spans="1:21" ht="18.600000000000001" customHeight="1" x14ac:dyDescent="0.25">
      <c r="A17" s="79" t="s">
        <v>71</v>
      </c>
      <c r="B17" s="79"/>
      <c r="C17" s="79"/>
      <c r="D17" s="71">
        <v>180</v>
      </c>
      <c r="E17" s="71">
        <v>233.20050000000001</v>
      </c>
      <c r="F17" s="75">
        <v>3.54</v>
      </c>
      <c r="G17" s="75" t="s">
        <v>77</v>
      </c>
      <c r="H17" s="75">
        <v>26.18</v>
      </c>
      <c r="I17" s="75">
        <v>118.88</v>
      </c>
      <c r="J17" s="73">
        <v>0</v>
      </c>
    </row>
    <row r="18" spans="1:21" x14ac:dyDescent="0.25">
      <c r="A18" s="84" t="s">
        <v>23</v>
      </c>
      <c r="B18" s="85"/>
      <c r="C18" s="86"/>
      <c r="D18" s="71">
        <v>45</v>
      </c>
      <c r="E18" s="71" t="s">
        <v>80</v>
      </c>
      <c r="F18" s="75">
        <v>3.69</v>
      </c>
      <c r="G18" s="75">
        <v>3.6</v>
      </c>
      <c r="H18" s="75">
        <v>22.6</v>
      </c>
      <c r="I18" s="75">
        <f>220.21/100*45</f>
        <v>99.094500000000011</v>
      </c>
      <c r="J18" s="73">
        <v>0</v>
      </c>
    </row>
    <row r="19" spans="1:21" x14ac:dyDescent="0.25">
      <c r="A19" s="84" t="s">
        <v>13</v>
      </c>
      <c r="B19" s="85"/>
      <c r="C19" s="87"/>
      <c r="D19" s="71">
        <v>20</v>
      </c>
      <c r="E19" s="71" t="s">
        <v>79</v>
      </c>
      <c r="F19" s="75">
        <v>1.64</v>
      </c>
      <c r="G19" s="75">
        <f>0.28/100*45</f>
        <v>0.12600000000000003</v>
      </c>
      <c r="H19" s="75">
        <v>7.22</v>
      </c>
      <c r="I19" s="75">
        <v>36.25</v>
      </c>
      <c r="J19" s="73">
        <v>0</v>
      </c>
    </row>
    <row r="20" spans="1:21" x14ac:dyDescent="0.25">
      <c r="A20" s="88" t="s">
        <v>12</v>
      </c>
      <c r="C20" s="89"/>
      <c r="D20" s="71"/>
      <c r="E20" s="71"/>
      <c r="F20" s="67">
        <f>SUM(F14:F19)</f>
        <v>31.02</v>
      </c>
      <c r="G20" s="67">
        <f>SUM(G14:G19)</f>
        <v>14.075999999999999</v>
      </c>
      <c r="H20" s="67">
        <f>SUM(H14:H19)</f>
        <v>74.63</v>
      </c>
      <c r="I20" s="67">
        <f>SUM(I14:I19)</f>
        <v>593.56449999999995</v>
      </c>
      <c r="J20" s="78">
        <f>SUM(J14:J19)</f>
        <v>49.400000000000006</v>
      </c>
    </row>
    <row r="21" spans="1:21" ht="15.6" customHeight="1" x14ac:dyDescent="0.25">
      <c r="A21" s="214" t="s">
        <v>37</v>
      </c>
      <c r="B21" s="214"/>
      <c r="C21" s="214"/>
      <c r="D21" s="214"/>
      <c r="E21" s="214"/>
      <c r="F21" s="214"/>
      <c r="G21" s="214"/>
      <c r="H21" s="214"/>
      <c r="I21" s="214"/>
      <c r="J21" s="70"/>
    </row>
    <row r="22" spans="1:21" ht="16.149999999999999" customHeight="1" x14ac:dyDescent="0.25">
      <c r="A22" s="79" t="s">
        <v>191</v>
      </c>
      <c r="B22" s="79"/>
      <c r="C22" s="79"/>
      <c r="D22" s="71">
        <v>150</v>
      </c>
      <c r="E22" s="71" t="s">
        <v>190</v>
      </c>
      <c r="F22" s="75">
        <v>24</v>
      </c>
      <c r="G22" s="75">
        <v>16.2</v>
      </c>
      <c r="H22" s="75">
        <v>26.6</v>
      </c>
      <c r="I22" s="75">
        <v>348</v>
      </c>
      <c r="J22" s="73">
        <v>0.3</v>
      </c>
    </row>
    <row r="23" spans="1:21" ht="11.45" customHeight="1" x14ac:dyDescent="0.25">
      <c r="A23" s="198" t="s">
        <v>192</v>
      </c>
      <c r="B23" s="199"/>
      <c r="C23" s="200"/>
      <c r="D23" s="71">
        <v>30</v>
      </c>
      <c r="E23" s="71" t="s">
        <v>193</v>
      </c>
      <c r="F23" s="75">
        <v>0.81</v>
      </c>
      <c r="G23" s="75">
        <v>2.6</v>
      </c>
      <c r="H23" s="75">
        <v>5</v>
      </c>
      <c r="I23" s="75">
        <v>46.6</v>
      </c>
      <c r="J23" s="73">
        <v>0.5</v>
      </c>
    </row>
    <row r="24" spans="1:21" x14ac:dyDescent="0.25">
      <c r="A24" s="201" t="s">
        <v>72</v>
      </c>
      <c r="B24" s="202"/>
      <c r="C24" s="203"/>
      <c r="D24" s="77">
        <v>200</v>
      </c>
      <c r="E24" s="71" t="s">
        <v>82</v>
      </c>
      <c r="F24" s="75">
        <v>0.6</v>
      </c>
      <c r="G24" s="75">
        <v>0.6</v>
      </c>
      <c r="H24" s="75">
        <v>14.7</v>
      </c>
      <c r="I24" s="75">
        <v>87</v>
      </c>
      <c r="J24" s="73">
        <v>16</v>
      </c>
    </row>
    <row r="25" spans="1:21" x14ac:dyDescent="0.25">
      <c r="A25" s="229" t="s">
        <v>149</v>
      </c>
      <c r="B25" s="230"/>
      <c r="C25" s="231"/>
      <c r="D25" s="90">
        <v>180</v>
      </c>
      <c r="E25" s="71">
        <v>261.20049999999998</v>
      </c>
      <c r="F25" s="72">
        <v>3.17</v>
      </c>
      <c r="G25" s="72">
        <v>2.72</v>
      </c>
      <c r="H25" s="72">
        <v>18.46</v>
      </c>
      <c r="I25" s="72">
        <v>111</v>
      </c>
      <c r="J25" s="71">
        <v>0.8</v>
      </c>
    </row>
    <row r="26" spans="1:21" x14ac:dyDescent="0.25">
      <c r="A26" s="198" t="s">
        <v>13</v>
      </c>
      <c r="B26" s="199"/>
      <c r="C26" s="200"/>
      <c r="D26" s="71">
        <v>20</v>
      </c>
      <c r="E26" s="71" t="s">
        <v>81</v>
      </c>
      <c r="F26" s="75">
        <v>1.64</v>
      </c>
      <c r="G26" s="75">
        <v>1.2</v>
      </c>
      <c r="H26" s="75">
        <v>14.3</v>
      </c>
      <c r="I26" s="75">
        <v>42.8</v>
      </c>
      <c r="J26" s="73">
        <v>0</v>
      </c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x14ac:dyDescent="0.25">
      <c r="A27" s="204" t="s">
        <v>12</v>
      </c>
      <c r="B27" s="205"/>
      <c r="C27" s="206"/>
      <c r="D27" s="66">
        <f>SUM(D22:D26)</f>
        <v>580</v>
      </c>
      <c r="E27" s="66"/>
      <c r="F27" s="67">
        <f>SUM(F22:F26)</f>
        <v>30.22</v>
      </c>
      <c r="G27" s="67">
        <f>SUM(G22:G26)</f>
        <v>23.32</v>
      </c>
      <c r="H27" s="67">
        <f>SUM(H22:H26)</f>
        <v>79.059999999999988</v>
      </c>
      <c r="I27" s="67">
        <f>SUM(I22:I26)</f>
        <v>635.4</v>
      </c>
      <c r="J27" s="78">
        <f>SUM(J22:J26)</f>
        <v>17.600000000000001</v>
      </c>
      <c r="K27" s="91"/>
      <c r="L27" s="91"/>
      <c r="M27" s="91"/>
      <c r="N27" s="92"/>
      <c r="O27" s="93"/>
      <c r="P27" s="93"/>
      <c r="Q27" s="93"/>
      <c r="R27" s="93"/>
      <c r="S27" s="93"/>
      <c r="T27" s="91"/>
      <c r="U27" s="91"/>
    </row>
    <row r="28" spans="1:21" ht="11.45" customHeight="1" x14ac:dyDescent="0.25">
      <c r="A28" s="204" t="s">
        <v>14</v>
      </c>
      <c r="B28" s="205"/>
      <c r="C28" s="206"/>
      <c r="D28" s="94">
        <f>D8+D12+D20+D27</f>
        <v>1200</v>
      </c>
      <c r="E28" s="66"/>
      <c r="F28" s="67">
        <f>F27+F20+F12+F8</f>
        <v>77.709999999999994</v>
      </c>
      <c r="G28" s="67">
        <f>G27+G20+G12+G8</f>
        <v>55.706000000000003</v>
      </c>
      <c r="H28" s="67">
        <f>H8+H12+H20+H27</f>
        <v>240.15999999999997</v>
      </c>
      <c r="I28" s="67">
        <f>I8+I12+I20+I27</f>
        <v>1785.4645</v>
      </c>
      <c r="J28" s="78">
        <f>J27+J20+J12+J8</f>
        <v>67.7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x14ac:dyDescent="0.25">
      <c r="A29" s="95"/>
      <c r="B29" s="95"/>
      <c r="C29" s="95"/>
      <c r="D29" s="96"/>
      <c r="E29" s="96"/>
      <c r="F29" s="97"/>
      <c r="G29" s="97"/>
      <c r="H29" s="97"/>
      <c r="I29" s="97"/>
      <c r="J29" s="96"/>
    </row>
    <row r="30" spans="1:21" x14ac:dyDescent="0.25">
      <c r="A30" s="95"/>
      <c r="B30" s="95"/>
      <c r="C30" s="95"/>
      <c r="D30" s="96"/>
      <c r="E30" s="96"/>
      <c r="F30" s="97"/>
      <c r="G30" s="97"/>
      <c r="H30" s="97"/>
      <c r="I30" s="97"/>
      <c r="J30" s="96"/>
    </row>
    <row r="31" spans="1:21" x14ac:dyDescent="0.25">
      <c r="A31" s="95"/>
      <c r="B31" s="95"/>
      <c r="C31" s="95"/>
      <c r="D31" s="96"/>
      <c r="E31" s="96"/>
      <c r="F31" s="97"/>
      <c r="G31" s="97"/>
      <c r="H31" s="97"/>
      <c r="I31" s="97"/>
      <c r="J31" s="96"/>
    </row>
    <row r="33" spans="1:20" x14ac:dyDescent="0.25">
      <c r="A33" s="95"/>
      <c r="B33" s="95"/>
      <c r="C33" s="95"/>
      <c r="D33" s="96"/>
      <c r="E33" s="96"/>
      <c r="F33" s="97"/>
      <c r="G33" s="97"/>
      <c r="H33" s="97"/>
      <c r="I33" s="97"/>
      <c r="J33" s="96"/>
    </row>
    <row r="34" spans="1:20" ht="30" customHeight="1" x14ac:dyDescent="0.25">
      <c r="A34" s="223" t="s">
        <v>0</v>
      </c>
      <c r="B34" s="223"/>
      <c r="C34" s="223"/>
      <c r="D34" s="66" t="s">
        <v>1</v>
      </c>
      <c r="E34" s="66" t="s">
        <v>2</v>
      </c>
      <c r="F34" s="67" t="s">
        <v>3</v>
      </c>
      <c r="G34" s="67" t="s">
        <v>4</v>
      </c>
      <c r="H34" s="67" t="s">
        <v>28</v>
      </c>
      <c r="I34" s="68" t="s">
        <v>75</v>
      </c>
      <c r="J34" s="98" t="s">
        <v>83</v>
      </c>
    </row>
    <row r="35" spans="1:20" ht="13.9" customHeight="1" x14ac:dyDescent="0.25">
      <c r="A35" s="223" t="s">
        <v>5</v>
      </c>
      <c r="B35" s="223"/>
      <c r="C35" s="223"/>
      <c r="D35" s="223"/>
      <c r="E35" s="223"/>
      <c r="F35" s="223"/>
      <c r="G35" s="223"/>
      <c r="H35" s="223"/>
      <c r="I35" s="223"/>
      <c r="J35" s="223"/>
      <c r="L35" s="91"/>
    </row>
    <row r="36" spans="1:20" ht="15.6" customHeight="1" x14ac:dyDescent="0.25">
      <c r="A36" s="223" t="s">
        <v>15</v>
      </c>
      <c r="B36" s="223"/>
      <c r="C36" s="223"/>
      <c r="D36" s="223"/>
      <c r="E36" s="223"/>
      <c r="F36" s="223"/>
      <c r="G36" s="223"/>
      <c r="H36" s="223"/>
      <c r="I36" s="223"/>
      <c r="J36" s="223"/>
      <c r="L36" s="91"/>
    </row>
    <row r="37" spans="1:20" ht="12" customHeight="1" x14ac:dyDescent="0.25">
      <c r="A37" s="223" t="s">
        <v>9</v>
      </c>
      <c r="B37" s="223"/>
      <c r="C37" s="223"/>
      <c r="D37" s="223"/>
      <c r="E37" s="223"/>
      <c r="F37" s="223"/>
      <c r="G37" s="223"/>
      <c r="H37" s="223"/>
      <c r="I37" s="223"/>
      <c r="J37" s="223"/>
    </row>
    <row r="38" spans="1:20" ht="28.9" customHeight="1" x14ac:dyDescent="0.25">
      <c r="A38" s="79" t="s">
        <v>104</v>
      </c>
      <c r="B38" s="79"/>
      <c r="C38" s="79"/>
      <c r="D38" s="76" t="s">
        <v>121</v>
      </c>
      <c r="E38" s="71" t="s">
        <v>144</v>
      </c>
      <c r="F38" s="75">
        <v>4.6500000000000004</v>
      </c>
      <c r="G38" s="75">
        <v>8.61</v>
      </c>
      <c r="H38" s="75">
        <v>29.3</v>
      </c>
      <c r="I38" s="75">
        <v>212.67</v>
      </c>
      <c r="J38" s="77">
        <v>0</v>
      </c>
    </row>
    <row r="39" spans="1:20" ht="28.9" customHeight="1" x14ac:dyDescent="0.25">
      <c r="A39" s="219" t="s">
        <v>178</v>
      </c>
      <c r="B39" s="219"/>
      <c r="C39" s="219"/>
      <c r="D39" s="90" t="s">
        <v>56</v>
      </c>
      <c r="E39" s="71">
        <v>96.200500000000005</v>
      </c>
      <c r="F39" s="72">
        <v>6.3</v>
      </c>
      <c r="G39" s="72">
        <v>6.79</v>
      </c>
      <c r="H39" s="72">
        <v>10.039999999999999</v>
      </c>
      <c r="I39" s="72">
        <v>126.47</v>
      </c>
      <c r="J39" s="77">
        <v>0</v>
      </c>
      <c r="L39" s="99"/>
    </row>
    <row r="40" spans="1:20" x14ac:dyDescent="0.25">
      <c r="A40" s="215" t="s">
        <v>73</v>
      </c>
      <c r="B40" s="215"/>
      <c r="C40" s="215"/>
      <c r="D40" s="74">
        <v>180</v>
      </c>
      <c r="E40" s="71" t="s">
        <v>173</v>
      </c>
      <c r="F40" s="75">
        <v>2.1</v>
      </c>
      <c r="G40" s="75">
        <v>1.95</v>
      </c>
      <c r="H40" s="75">
        <v>15.57</v>
      </c>
      <c r="I40" s="75">
        <v>88.21</v>
      </c>
      <c r="J40" s="73">
        <v>0</v>
      </c>
    </row>
    <row r="41" spans="1:20" x14ac:dyDescent="0.25">
      <c r="A41" s="204" t="s">
        <v>12</v>
      </c>
      <c r="B41" s="205"/>
      <c r="C41" s="206"/>
      <c r="D41" s="71"/>
      <c r="E41" s="71"/>
      <c r="F41" s="67">
        <f>SUM(F38:F40)</f>
        <v>13.049999999999999</v>
      </c>
      <c r="G41" s="67">
        <f>SUM(G38:G40)</f>
        <v>17.349999999999998</v>
      </c>
      <c r="H41" s="67">
        <f>SUM(H38:H40)</f>
        <v>54.910000000000004</v>
      </c>
      <c r="I41" s="67">
        <f>SUM(I38:I40)</f>
        <v>427.34999999999997</v>
      </c>
      <c r="J41" s="66">
        <f>SUM(J38:J40)</f>
        <v>0</v>
      </c>
    </row>
    <row r="42" spans="1:20" x14ac:dyDescent="0.25">
      <c r="A42" s="223" t="s">
        <v>8</v>
      </c>
      <c r="B42" s="223"/>
      <c r="C42" s="223"/>
      <c r="D42" s="223"/>
      <c r="E42" s="223"/>
      <c r="F42" s="223"/>
      <c r="G42" s="223"/>
      <c r="H42" s="223"/>
      <c r="I42" s="223"/>
      <c r="J42" s="66"/>
    </row>
    <row r="43" spans="1:20" x14ac:dyDescent="0.25">
      <c r="A43" s="198" t="s">
        <v>46</v>
      </c>
      <c r="B43" s="199"/>
      <c r="C43" s="200"/>
      <c r="D43" s="71">
        <v>180</v>
      </c>
      <c r="E43" s="71">
        <v>698.20039999999995</v>
      </c>
      <c r="F43" s="75">
        <v>6.87</v>
      </c>
      <c r="G43" s="75">
        <v>0</v>
      </c>
      <c r="H43" s="75">
        <v>33.04</v>
      </c>
      <c r="I43" s="75">
        <v>159.63999999999999</v>
      </c>
      <c r="J43" s="71">
        <v>4</v>
      </c>
      <c r="K43" s="100"/>
    </row>
    <row r="44" spans="1:20" x14ac:dyDescent="0.25">
      <c r="A44" s="204" t="s">
        <v>12</v>
      </c>
      <c r="B44" s="205"/>
      <c r="C44" s="206"/>
      <c r="D44" s="71"/>
      <c r="E44" s="71"/>
      <c r="F44" s="67">
        <f>SUM(F43)</f>
        <v>6.87</v>
      </c>
      <c r="G44" s="67">
        <f>SUM(G43:G43)</f>
        <v>0</v>
      </c>
      <c r="H44" s="67">
        <f>SUM(H43)</f>
        <v>33.04</v>
      </c>
      <c r="I44" s="67">
        <f>SUM(I43:I43)</f>
        <v>159.63999999999999</v>
      </c>
      <c r="J44" s="66">
        <v>4</v>
      </c>
    </row>
    <row r="45" spans="1:20" x14ac:dyDescent="0.25">
      <c r="A45" s="223" t="s">
        <v>11</v>
      </c>
      <c r="B45" s="223"/>
      <c r="C45" s="223"/>
      <c r="D45" s="223"/>
      <c r="E45" s="223"/>
      <c r="F45" s="223"/>
      <c r="G45" s="223"/>
      <c r="H45" s="223"/>
      <c r="I45" s="223"/>
      <c r="J45" s="66"/>
      <c r="L45" s="91"/>
      <c r="P45" s="91"/>
      <c r="Q45" s="91"/>
      <c r="R45" s="91"/>
      <c r="S45" s="91"/>
      <c r="T45" s="91"/>
    </row>
    <row r="46" spans="1:20" ht="45" hidden="1" customHeight="1" x14ac:dyDescent="0.25">
      <c r="A46" s="213" t="s">
        <v>41</v>
      </c>
      <c r="B46" s="213"/>
      <c r="C46" s="213"/>
      <c r="D46" s="71">
        <v>60</v>
      </c>
      <c r="E46" s="66"/>
      <c r="F46" s="67"/>
      <c r="G46" s="67"/>
      <c r="H46" s="67"/>
      <c r="I46" s="67"/>
      <c r="J46" s="66"/>
      <c r="L46" s="91"/>
      <c r="P46" s="91"/>
      <c r="Q46" s="91"/>
      <c r="R46" s="91"/>
      <c r="S46" s="91"/>
      <c r="T46" s="91"/>
    </row>
    <row r="47" spans="1:20" ht="16.149999999999999" customHeight="1" x14ac:dyDescent="0.25">
      <c r="A47" s="221" t="s">
        <v>105</v>
      </c>
      <c r="B47" s="221"/>
      <c r="C47" s="221"/>
      <c r="D47" s="70">
        <v>60</v>
      </c>
      <c r="E47" s="70" t="s">
        <v>166</v>
      </c>
      <c r="F47" s="101">
        <v>0.67</v>
      </c>
      <c r="G47" s="101">
        <v>6.07</v>
      </c>
      <c r="H47" s="101">
        <v>4.29</v>
      </c>
      <c r="I47" s="101">
        <v>74.45</v>
      </c>
      <c r="J47" s="77">
        <v>0</v>
      </c>
      <c r="K47" s="91"/>
      <c r="L47" s="91"/>
      <c r="P47" s="91"/>
      <c r="Q47" s="91"/>
      <c r="R47" s="91"/>
      <c r="S47" s="91"/>
      <c r="T47" s="91"/>
    </row>
    <row r="48" spans="1:20" ht="28.15" customHeight="1" x14ac:dyDescent="0.25">
      <c r="A48" s="219" t="s">
        <v>174</v>
      </c>
      <c r="B48" s="219"/>
      <c r="C48" s="219"/>
      <c r="D48" s="74" t="s">
        <v>150</v>
      </c>
      <c r="E48" s="71">
        <v>33.200499999999998</v>
      </c>
      <c r="F48" s="72">
        <v>4.5999999999999996</v>
      </c>
      <c r="G48" s="72">
        <v>7.4</v>
      </c>
      <c r="H48" s="72">
        <v>14.7</v>
      </c>
      <c r="I48" s="72">
        <v>147.1</v>
      </c>
      <c r="J48" s="77">
        <v>12.5</v>
      </c>
      <c r="K48" s="91"/>
      <c r="L48" s="91"/>
      <c r="P48" s="91"/>
      <c r="Q48" s="102"/>
      <c r="R48" s="102"/>
      <c r="S48" s="102"/>
      <c r="T48" s="91"/>
    </row>
    <row r="49" spans="1:20" ht="15" customHeight="1" x14ac:dyDescent="0.25">
      <c r="A49" s="210" t="s">
        <v>147</v>
      </c>
      <c r="B49" s="211"/>
      <c r="C49" s="212"/>
      <c r="D49" s="71">
        <v>70</v>
      </c>
      <c r="E49" s="71" t="s">
        <v>135</v>
      </c>
      <c r="F49" s="75">
        <v>10.88</v>
      </c>
      <c r="G49" s="75">
        <v>8.68</v>
      </c>
      <c r="H49" s="75">
        <v>12.11</v>
      </c>
      <c r="I49" s="75">
        <v>170.05</v>
      </c>
      <c r="J49" s="71">
        <v>28.3</v>
      </c>
      <c r="K49" s="91"/>
      <c r="P49" s="91"/>
      <c r="Q49" s="91"/>
      <c r="R49" s="91"/>
      <c r="S49" s="91"/>
      <c r="T49" s="91"/>
    </row>
    <row r="50" spans="1:20" ht="12.6" customHeight="1" x14ac:dyDescent="0.25">
      <c r="A50" s="225" t="s">
        <v>19</v>
      </c>
      <c r="B50" s="225"/>
      <c r="C50" s="225"/>
      <c r="D50" s="90">
        <v>170</v>
      </c>
      <c r="E50" s="71">
        <v>200.20050000000001</v>
      </c>
      <c r="F50" s="72">
        <v>2.75</v>
      </c>
      <c r="G50" s="72">
        <v>12.69</v>
      </c>
      <c r="H50" s="72">
        <v>18.73</v>
      </c>
      <c r="I50" s="72">
        <v>200.13</v>
      </c>
      <c r="J50" s="77">
        <v>3.25</v>
      </c>
      <c r="K50" s="91"/>
      <c r="P50" s="91"/>
      <c r="Q50" s="91"/>
      <c r="R50" s="91"/>
      <c r="S50" s="91"/>
      <c r="T50" s="91"/>
    </row>
    <row r="51" spans="1:20" x14ac:dyDescent="0.25">
      <c r="A51" s="79" t="s">
        <v>45</v>
      </c>
      <c r="B51" s="79"/>
      <c r="C51" s="79"/>
      <c r="D51" s="71">
        <v>180</v>
      </c>
      <c r="E51" s="71">
        <v>241.20050000000001</v>
      </c>
      <c r="F51" s="75">
        <v>0.14000000000000001</v>
      </c>
      <c r="G51" s="75">
        <v>0.14000000000000001</v>
      </c>
      <c r="H51" s="75">
        <v>15.5</v>
      </c>
      <c r="I51" s="75">
        <v>63.89</v>
      </c>
      <c r="J51" s="71">
        <v>0.7</v>
      </c>
    </row>
    <row r="52" spans="1:20" x14ac:dyDescent="0.25">
      <c r="A52" s="103" t="s">
        <v>23</v>
      </c>
      <c r="B52" s="104"/>
      <c r="C52" s="105"/>
      <c r="D52" s="71">
        <v>45</v>
      </c>
      <c r="E52" s="71" t="s">
        <v>80</v>
      </c>
      <c r="F52" s="75">
        <v>3.69</v>
      </c>
      <c r="G52" s="75">
        <v>3.6</v>
      </c>
      <c r="H52" s="75">
        <v>22.6</v>
      </c>
      <c r="I52" s="75">
        <f>220.21/100*45</f>
        <v>99.094500000000011</v>
      </c>
      <c r="J52" s="66">
        <v>0</v>
      </c>
    </row>
    <row r="53" spans="1:20" x14ac:dyDescent="0.25">
      <c r="A53" s="198" t="s">
        <v>13</v>
      </c>
      <c r="B53" s="199"/>
      <c r="C53" s="200"/>
      <c r="D53" s="71">
        <v>20</v>
      </c>
      <c r="E53" s="71" t="s">
        <v>79</v>
      </c>
      <c r="F53" s="75">
        <v>1.64</v>
      </c>
      <c r="G53" s="75">
        <f>0.28/100*45</f>
        <v>0.12600000000000003</v>
      </c>
      <c r="H53" s="75">
        <v>7.22</v>
      </c>
      <c r="I53" s="75">
        <v>40.799999999999997</v>
      </c>
      <c r="J53" s="66">
        <v>0</v>
      </c>
    </row>
    <row r="54" spans="1:20" ht="12.6" customHeight="1" x14ac:dyDescent="0.25">
      <c r="A54" s="204" t="s">
        <v>12</v>
      </c>
      <c r="B54" s="205"/>
      <c r="C54" s="206"/>
      <c r="D54" s="71"/>
      <c r="E54" s="71"/>
      <c r="F54" s="67">
        <f>SUM(F47:F53)</f>
        <v>24.37</v>
      </c>
      <c r="G54" s="67">
        <f>SUM(G47:G53)</f>
        <v>38.705999999999996</v>
      </c>
      <c r="H54" s="67">
        <f>SUM(H47:H53)</f>
        <v>95.15</v>
      </c>
      <c r="I54" s="67">
        <f>SUM(I47:I53)</f>
        <v>795.5145</v>
      </c>
      <c r="J54" s="70">
        <f>SUM(J47:J53)</f>
        <v>44.75</v>
      </c>
    </row>
    <row r="55" spans="1:20" ht="13.9" customHeight="1" x14ac:dyDescent="0.25">
      <c r="A55" s="214" t="s">
        <v>37</v>
      </c>
      <c r="B55" s="214"/>
      <c r="C55" s="214"/>
      <c r="D55" s="214"/>
      <c r="E55" s="214"/>
      <c r="F55" s="214"/>
      <c r="G55" s="214"/>
      <c r="H55" s="214"/>
      <c r="I55" s="214"/>
      <c r="J55" s="77"/>
    </row>
    <row r="56" spans="1:20" ht="13.9" customHeight="1" x14ac:dyDescent="0.25">
      <c r="A56" s="213" t="s">
        <v>122</v>
      </c>
      <c r="B56" s="213"/>
      <c r="C56" s="213"/>
      <c r="D56" s="71">
        <v>60</v>
      </c>
      <c r="E56" s="71">
        <v>11.2006</v>
      </c>
      <c r="F56" s="75">
        <v>0.82</v>
      </c>
      <c r="G56" s="75">
        <v>4.0599999999999996</v>
      </c>
      <c r="H56" s="75">
        <v>4</v>
      </c>
      <c r="I56" s="75">
        <v>55.77</v>
      </c>
      <c r="J56" s="66">
        <v>12.3</v>
      </c>
    </row>
    <row r="57" spans="1:20" ht="13.9" customHeight="1" x14ac:dyDescent="0.25">
      <c r="A57" s="221" t="s">
        <v>106</v>
      </c>
      <c r="B57" s="221"/>
      <c r="C57" s="221"/>
      <c r="D57" s="70">
        <v>70</v>
      </c>
      <c r="E57" s="70" t="s">
        <v>136</v>
      </c>
      <c r="F57" s="101">
        <v>15.3</v>
      </c>
      <c r="G57" s="101">
        <v>3.88</v>
      </c>
      <c r="H57" s="101">
        <v>10.34</v>
      </c>
      <c r="I57" s="101">
        <v>137.47999999999999</v>
      </c>
      <c r="J57" s="77">
        <v>0.56799999999999995</v>
      </c>
    </row>
    <row r="58" spans="1:20" ht="13.15" customHeight="1" x14ac:dyDescent="0.25">
      <c r="A58" s="130" t="s">
        <v>16</v>
      </c>
      <c r="B58" s="131"/>
      <c r="C58" s="132"/>
      <c r="D58" s="71">
        <v>130</v>
      </c>
      <c r="E58" s="71">
        <v>206.20050000000001</v>
      </c>
      <c r="F58" s="29">
        <v>3.18</v>
      </c>
      <c r="G58" s="29">
        <v>3.97</v>
      </c>
      <c r="H58" s="29">
        <v>21.65</v>
      </c>
      <c r="I58" s="29">
        <v>135.01</v>
      </c>
      <c r="J58" s="25">
        <v>8.9</v>
      </c>
    </row>
    <row r="59" spans="1:20" ht="15.6" customHeight="1" x14ac:dyDescent="0.25">
      <c r="A59" s="198" t="s">
        <v>61</v>
      </c>
      <c r="B59" s="199"/>
      <c r="C59" s="200"/>
      <c r="D59" s="71">
        <v>200</v>
      </c>
      <c r="E59" s="71" t="s">
        <v>47</v>
      </c>
      <c r="F59" s="75">
        <v>6.87</v>
      </c>
      <c r="G59" s="75">
        <v>0</v>
      </c>
      <c r="H59" s="75">
        <v>33.04</v>
      </c>
      <c r="I59" s="75">
        <v>159.63999999999999</v>
      </c>
      <c r="J59" s="70">
        <v>4</v>
      </c>
    </row>
    <row r="60" spans="1:20" ht="13.15" customHeight="1" x14ac:dyDescent="0.25">
      <c r="A60" s="198" t="s">
        <v>13</v>
      </c>
      <c r="B60" s="199"/>
      <c r="C60" s="200"/>
      <c r="D60" s="71">
        <v>25</v>
      </c>
      <c r="E60" s="71" t="s">
        <v>81</v>
      </c>
      <c r="F60" s="75">
        <f>1.64/20*15</f>
        <v>1.2299999999999998</v>
      </c>
      <c r="G60" s="75">
        <f>1.2/20*15</f>
        <v>0.89999999999999991</v>
      </c>
      <c r="H60" s="75">
        <f>18.3/20*15</f>
        <v>13.725000000000001</v>
      </c>
      <c r="I60" s="75">
        <f>42.8/20*15</f>
        <v>32.099999999999994</v>
      </c>
      <c r="J60" s="77">
        <v>0.5</v>
      </c>
    </row>
    <row r="61" spans="1:20" x14ac:dyDescent="0.25">
      <c r="A61" s="207" t="s">
        <v>12</v>
      </c>
      <c r="B61" s="208"/>
      <c r="C61" s="209"/>
      <c r="D61" s="70">
        <f>SUM(D56:D60)</f>
        <v>485</v>
      </c>
      <c r="E61" s="70"/>
      <c r="F61" s="101">
        <f>SUM(F56:F60)</f>
        <v>27.400000000000002</v>
      </c>
      <c r="G61" s="101">
        <f t="shared" ref="G61:I61" si="0">SUM(G56:G60)</f>
        <v>12.81</v>
      </c>
      <c r="H61" s="101">
        <f t="shared" si="0"/>
        <v>82.754999999999995</v>
      </c>
      <c r="I61" s="101">
        <f t="shared" si="0"/>
        <v>520</v>
      </c>
      <c r="J61" s="70">
        <f>SUM(J56:J60)</f>
        <v>26.268000000000001</v>
      </c>
    </row>
    <row r="62" spans="1:20" x14ac:dyDescent="0.25">
      <c r="A62" s="207" t="s">
        <v>14</v>
      </c>
      <c r="B62" s="208"/>
      <c r="C62" s="209"/>
      <c r="D62" s="70"/>
      <c r="E62" s="70"/>
      <c r="F62" s="101">
        <f>F44+F54+F41+F61</f>
        <v>71.69</v>
      </c>
      <c r="G62" s="101">
        <f t="shared" ref="G62:H62" si="1">G44+G54+G41+G61</f>
        <v>68.866</v>
      </c>
      <c r="H62" s="101">
        <f t="shared" si="1"/>
        <v>265.85500000000002</v>
      </c>
      <c r="I62" s="101">
        <f>I61+I54+I44+I41</f>
        <v>1902.5045</v>
      </c>
      <c r="J62" s="70">
        <f>J41+J54+J61+J44</f>
        <v>75.018000000000001</v>
      </c>
    </row>
    <row r="63" spans="1:20" x14ac:dyDescent="0.25">
      <c r="A63" s="130"/>
      <c r="B63" s="131"/>
      <c r="C63" s="132"/>
      <c r="D63" s="71"/>
      <c r="E63" s="71"/>
      <c r="F63" s="29"/>
      <c r="G63" s="29"/>
      <c r="H63" s="29"/>
      <c r="I63" s="29"/>
      <c r="J63" s="25"/>
    </row>
    <row r="64" spans="1:20" x14ac:dyDescent="0.25">
      <c r="A64" s="106"/>
      <c r="B64" s="106"/>
      <c r="C64" s="106"/>
      <c r="D64" s="107"/>
      <c r="E64" s="107"/>
      <c r="F64" s="108"/>
      <c r="G64" s="108"/>
      <c r="H64" s="108"/>
      <c r="I64" s="108"/>
      <c r="J64" s="107"/>
    </row>
    <row r="65" spans="1:21" ht="44.45" customHeight="1" x14ac:dyDescent="0.25">
      <c r="A65" s="223" t="s">
        <v>0</v>
      </c>
      <c r="B65" s="223"/>
      <c r="C65" s="223"/>
      <c r="D65" s="66" t="s">
        <v>1</v>
      </c>
      <c r="E65" s="66" t="s">
        <v>2</v>
      </c>
      <c r="F65" s="67" t="s">
        <v>3</v>
      </c>
      <c r="G65" s="67" t="s">
        <v>4</v>
      </c>
      <c r="H65" s="67" t="s">
        <v>28</v>
      </c>
      <c r="I65" s="68" t="s">
        <v>75</v>
      </c>
      <c r="J65" s="66" t="s">
        <v>76</v>
      </c>
      <c r="K65" s="91"/>
    </row>
    <row r="66" spans="1:21" x14ac:dyDescent="0.25">
      <c r="A66" s="223" t="s">
        <v>5</v>
      </c>
      <c r="B66" s="223"/>
      <c r="C66" s="223"/>
      <c r="D66" s="223"/>
      <c r="E66" s="223"/>
      <c r="F66" s="223"/>
      <c r="G66" s="223"/>
      <c r="H66" s="223"/>
      <c r="I66" s="223"/>
      <c r="J66" s="223"/>
      <c r="L66" s="93"/>
    </row>
    <row r="67" spans="1:21" x14ac:dyDescent="0.25">
      <c r="A67" s="223" t="s">
        <v>17</v>
      </c>
      <c r="B67" s="223"/>
      <c r="C67" s="223"/>
      <c r="D67" s="223"/>
      <c r="E67" s="223"/>
      <c r="F67" s="223"/>
      <c r="G67" s="223"/>
      <c r="H67" s="223"/>
      <c r="I67" s="223"/>
      <c r="J67" s="223"/>
    </row>
    <row r="68" spans="1:21" x14ac:dyDescent="0.25">
      <c r="A68" s="223" t="s">
        <v>9</v>
      </c>
      <c r="B68" s="223"/>
      <c r="C68" s="223"/>
      <c r="D68" s="223"/>
      <c r="E68" s="223"/>
      <c r="F68" s="223"/>
      <c r="G68" s="223"/>
      <c r="H68" s="223"/>
      <c r="I68" s="223"/>
      <c r="J68" s="223"/>
    </row>
    <row r="69" spans="1:21" ht="18.600000000000001" customHeight="1" x14ac:dyDescent="0.25">
      <c r="A69" s="213" t="s">
        <v>179</v>
      </c>
      <c r="B69" s="213"/>
      <c r="C69" s="213"/>
      <c r="D69" s="71" t="s">
        <v>56</v>
      </c>
      <c r="E69" s="71" t="s">
        <v>29</v>
      </c>
      <c r="F69" s="75">
        <v>2.83</v>
      </c>
      <c r="G69" s="75">
        <v>6.63</v>
      </c>
      <c r="H69" s="75">
        <v>9.73</v>
      </c>
      <c r="I69" s="75">
        <v>156.32</v>
      </c>
      <c r="J69" s="71">
        <v>0</v>
      </c>
    </row>
    <row r="70" spans="1:21" x14ac:dyDescent="0.25">
      <c r="A70" s="198" t="s">
        <v>151</v>
      </c>
      <c r="B70" s="199"/>
      <c r="C70" s="200"/>
      <c r="D70" s="71">
        <v>180</v>
      </c>
      <c r="E70" s="71" t="s">
        <v>152</v>
      </c>
      <c r="F70" s="75">
        <f>4.2*1.2</f>
        <v>5.04</v>
      </c>
      <c r="G70" s="75">
        <f>5.25*1.2</f>
        <v>6.3</v>
      </c>
      <c r="H70" s="75">
        <f>18.03*1.2</f>
        <v>21.635999999999999</v>
      </c>
      <c r="I70" s="75">
        <f>133.19*1.2</f>
        <v>159.828</v>
      </c>
      <c r="J70" s="77">
        <v>0</v>
      </c>
    </row>
    <row r="71" spans="1:21" x14ac:dyDescent="0.25">
      <c r="A71" s="79" t="s">
        <v>102</v>
      </c>
      <c r="B71" s="79"/>
      <c r="C71" s="79"/>
      <c r="D71" s="76" t="s">
        <v>103</v>
      </c>
      <c r="E71" s="71" t="s">
        <v>143</v>
      </c>
      <c r="F71" s="75">
        <v>3.7</v>
      </c>
      <c r="G71" s="75">
        <v>7.69</v>
      </c>
      <c r="H71" s="75">
        <v>28.69</v>
      </c>
      <c r="I71" s="75">
        <v>156</v>
      </c>
      <c r="J71" s="66">
        <v>0</v>
      </c>
    </row>
    <row r="72" spans="1:21" x14ac:dyDescent="0.25">
      <c r="A72" s="204" t="s">
        <v>12</v>
      </c>
      <c r="B72" s="205"/>
      <c r="C72" s="206"/>
      <c r="D72" s="71"/>
      <c r="E72" s="71"/>
      <c r="F72" s="67">
        <f t="shared" ref="F72:I72" si="2">SUM(F69:F71)</f>
        <v>11.57</v>
      </c>
      <c r="G72" s="67">
        <f t="shared" si="2"/>
        <v>20.62</v>
      </c>
      <c r="H72" s="67">
        <f>SUM(H69:H71)</f>
        <v>60.055999999999997</v>
      </c>
      <c r="I72" s="67">
        <f t="shared" si="2"/>
        <v>472.14800000000002</v>
      </c>
      <c r="J72" s="66">
        <f>SUM(J69:J71)</f>
        <v>0</v>
      </c>
    </row>
    <row r="73" spans="1:21" x14ac:dyDescent="0.25">
      <c r="A73" s="223" t="s">
        <v>8</v>
      </c>
      <c r="B73" s="223"/>
      <c r="C73" s="223"/>
      <c r="D73" s="223"/>
      <c r="E73" s="223"/>
      <c r="F73" s="223"/>
      <c r="G73" s="223"/>
      <c r="H73" s="223"/>
      <c r="I73" s="223"/>
      <c r="J73" s="71"/>
    </row>
    <row r="74" spans="1:21" ht="18" customHeight="1" x14ac:dyDescent="0.25">
      <c r="A74" s="225" t="s">
        <v>119</v>
      </c>
      <c r="B74" s="225"/>
      <c r="C74" s="225"/>
      <c r="D74" s="77">
        <v>180</v>
      </c>
      <c r="E74" s="71" t="s">
        <v>78</v>
      </c>
      <c r="F74" s="75">
        <v>5.76</v>
      </c>
      <c r="G74" s="75">
        <f>3.5*1.8</f>
        <v>6.3</v>
      </c>
      <c r="H74" s="75">
        <v>10.44</v>
      </c>
      <c r="I74" s="75">
        <v>108</v>
      </c>
      <c r="J74" s="73">
        <v>0.7</v>
      </c>
    </row>
    <row r="75" spans="1:21" x14ac:dyDescent="0.25">
      <c r="A75" s="198" t="s">
        <v>54</v>
      </c>
      <c r="B75" s="199"/>
      <c r="C75" s="200"/>
      <c r="D75" s="71">
        <v>30</v>
      </c>
      <c r="E75" s="71" t="s">
        <v>85</v>
      </c>
      <c r="F75" s="75">
        <v>0.34</v>
      </c>
      <c r="G75" s="75">
        <v>1.93</v>
      </c>
      <c r="H75" s="75">
        <v>5.16</v>
      </c>
      <c r="I75" s="75">
        <v>40</v>
      </c>
      <c r="J75" s="66">
        <v>0</v>
      </c>
      <c r="P75" s="91"/>
      <c r="Q75" s="91"/>
      <c r="R75" s="91"/>
      <c r="S75" s="91"/>
      <c r="T75" s="91"/>
      <c r="U75" s="91"/>
    </row>
    <row r="76" spans="1:21" x14ac:dyDescent="0.25">
      <c r="A76" s="204" t="s">
        <v>12</v>
      </c>
      <c r="B76" s="205"/>
      <c r="C76" s="206"/>
      <c r="D76" s="71"/>
      <c r="E76" s="71"/>
      <c r="F76" s="67">
        <f>SUM(F74:F75)</f>
        <v>6.1</v>
      </c>
      <c r="G76" s="67">
        <f>SUM(G74:G75)</f>
        <v>8.23</v>
      </c>
      <c r="H76" s="67">
        <f>SUM(H74:H75)</f>
        <v>15.6</v>
      </c>
      <c r="I76" s="67">
        <f>SUM(I74:I75)</f>
        <v>148</v>
      </c>
      <c r="J76" s="66">
        <f>SUM(J74:J75)</f>
        <v>0.7</v>
      </c>
      <c r="P76" s="91"/>
      <c r="Q76" s="109"/>
      <c r="R76" s="109"/>
      <c r="S76" s="109"/>
      <c r="T76" s="91"/>
      <c r="U76" s="91"/>
    </row>
    <row r="77" spans="1:21" x14ac:dyDescent="0.25">
      <c r="A77" s="223" t="s">
        <v>11</v>
      </c>
      <c r="B77" s="223"/>
      <c r="C77" s="223"/>
      <c r="D77" s="223"/>
      <c r="E77" s="223"/>
      <c r="F77" s="223"/>
      <c r="G77" s="223"/>
      <c r="H77" s="223"/>
      <c r="I77" s="223"/>
      <c r="J77" s="66"/>
      <c r="P77" s="91"/>
      <c r="Q77" s="91"/>
      <c r="R77" s="91"/>
      <c r="S77" s="91"/>
      <c r="T77" s="91"/>
      <c r="U77" s="91"/>
    </row>
    <row r="78" spans="1:21" ht="13.9" customHeight="1" x14ac:dyDescent="0.25">
      <c r="A78" s="213" t="s">
        <v>112</v>
      </c>
      <c r="B78" s="213"/>
      <c r="C78" s="213"/>
      <c r="D78" s="83">
        <v>20</v>
      </c>
      <c r="E78" s="83" t="s">
        <v>141</v>
      </c>
      <c r="F78" s="73">
        <v>0.78</v>
      </c>
      <c r="G78" s="73">
        <v>3.05</v>
      </c>
      <c r="H78" s="73">
        <v>7.73</v>
      </c>
      <c r="I78" s="73">
        <f>(F78+H78)*4+G78*9</f>
        <v>61.489999999999995</v>
      </c>
      <c r="J78" s="73">
        <v>15.3</v>
      </c>
      <c r="P78" s="91"/>
      <c r="Q78" s="91"/>
      <c r="R78" s="91"/>
      <c r="S78" s="91"/>
      <c r="T78" s="91"/>
      <c r="U78" s="91"/>
    </row>
    <row r="79" spans="1:21" ht="15" customHeight="1" x14ac:dyDescent="0.25">
      <c r="A79" s="224" t="s">
        <v>156</v>
      </c>
      <c r="B79" s="224"/>
      <c r="C79" s="224"/>
      <c r="D79" s="90" t="s">
        <v>155</v>
      </c>
      <c r="E79" s="71">
        <v>34.200499999999998</v>
      </c>
      <c r="F79" s="72">
        <v>2.44</v>
      </c>
      <c r="G79" s="72">
        <v>5.7</v>
      </c>
      <c r="H79" s="72">
        <v>26</v>
      </c>
      <c r="I79" s="72">
        <v>165.06</v>
      </c>
      <c r="J79" s="77">
        <v>12.3</v>
      </c>
      <c r="P79" s="91"/>
      <c r="Q79" s="91"/>
      <c r="R79" s="91"/>
      <c r="S79" s="91"/>
      <c r="T79" s="91"/>
      <c r="U79" s="91"/>
    </row>
    <row r="80" spans="1:21" x14ac:dyDescent="0.25">
      <c r="A80" s="226" t="s">
        <v>26</v>
      </c>
      <c r="B80" s="227"/>
      <c r="C80" s="228"/>
      <c r="D80" s="77">
        <v>70</v>
      </c>
      <c r="E80" s="71" t="s">
        <v>137</v>
      </c>
      <c r="F80" s="72">
        <v>6.3</v>
      </c>
      <c r="G80" s="72">
        <v>4.0599999999999996</v>
      </c>
      <c r="H80" s="72">
        <v>25.63</v>
      </c>
      <c r="I80" s="72">
        <v>164.26</v>
      </c>
      <c r="J80" s="77">
        <v>0.56799999999999995</v>
      </c>
      <c r="P80" s="91"/>
      <c r="Q80" s="91"/>
      <c r="R80" s="91"/>
      <c r="S80" s="91"/>
      <c r="T80" s="91"/>
      <c r="U80" s="91"/>
    </row>
    <row r="81" spans="1:21" x14ac:dyDescent="0.25">
      <c r="A81" s="110" t="s">
        <v>62</v>
      </c>
      <c r="B81" s="111"/>
      <c r="C81" s="112"/>
      <c r="D81" s="77">
        <v>20</v>
      </c>
      <c r="E81" s="71" t="s">
        <v>177</v>
      </c>
      <c r="F81" s="72">
        <f>3.68*0.2</f>
        <v>0.7360000000000001</v>
      </c>
      <c r="G81" s="72">
        <f>9.09*0.2</f>
        <v>1.8180000000000001</v>
      </c>
      <c r="H81" s="72">
        <f>10.32*0.2</f>
        <v>2.0640000000000001</v>
      </c>
      <c r="I81" s="72">
        <f>138.71*0.2</f>
        <v>27.742000000000004</v>
      </c>
      <c r="J81" s="77">
        <v>0</v>
      </c>
      <c r="P81" s="91"/>
      <c r="Q81" s="91"/>
      <c r="R81" s="91"/>
      <c r="S81" s="91"/>
      <c r="T81" s="91"/>
      <c r="U81" s="91"/>
    </row>
    <row r="82" spans="1:21" x14ac:dyDescent="0.25">
      <c r="A82" s="79" t="s">
        <v>108</v>
      </c>
      <c r="B82" s="79"/>
      <c r="C82" s="79"/>
      <c r="D82" s="71">
        <v>180</v>
      </c>
      <c r="E82" s="71">
        <v>510.2004</v>
      </c>
      <c r="F82" s="75">
        <v>3.02</v>
      </c>
      <c r="G82" s="75">
        <v>4.16</v>
      </c>
      <c r="H82" s="75">
        <v>16.98</v>
      </c>
      <c r="I82" s="75">
        <v>117.4</v>
      </c>
      <c r="J82" s="77">
        <v>12.3</v>
      </c>
      <c r="P82" s="91"/>
      <c r="Q82" s="91"/>
      <c r="R82" s="91"/>
      <c r="S82" s="91"/>
      <c r="T82" s="91"/>
      <c r="U82" s="91"/>
    </row>
    <row r="83" spans="1:21" x14ac:dyDescent="0.25">
      <c r="A83" s="79" t="s">
        <v>44</v>
      </c>
      <c r="B83" s="79"/>
      <c r="C83" s="79"/>
      <c r="D83" s="71">
        <v>180</v>
      </c>
      <c r="E83" s="71">
        <v>241.20050000000001</v>
      </c>
      <c r="F83" s="75">
        <v>0.08</v>
      </c>
      <c r="G83" s="75">
        <v>4.0599999999999996</v>
      </c>
      <c r="H83" s="75">
        <v>17.46</v>
      </c>
      <c r="I83" s="75">
        <v>70.150000000000006</v>
      </c>
      <c r="J83" s="70">
        <v>0.6</v>
      </c>
      <c r="P83" s="91"/>
      <c r="Q83" s="93"/>
      <c r="R83" s="93"/>
      <c r="S83" s="93"/>
      <c r="T83" s="91"/>
      <c r="U83" s="91"/>
    </row>
    <row r="84" spans="1:21" x14ac:dyDescent="0.25">
      <c r="A84" s="201" t="s">
        <v>23</v>
      </c>
      <c r="B84" s="202"/>
      <c r="C84" s="203"/>
      <c r="D84" s="71">
        <v>45</v>
      </c>
      <c r="E84" s="71" t="s">
        <v>80</v>
      </c>
      <c r="F84" s="75">
        <v>3.69</v>
      </c>
      <c r="G84" s="75">
        <v>3.6</v>
      </c>
      <c r="H84" s="75">
        <v>22.6</v>
      </c>
      <c r="I84" s="75">
        <f>220.21/100*45</f>
        <v>99.094500000000011</v>
      </c>
      <c r="J84" s="66">
        <v>0</v>
      </c>
      <c r="P84" s="91"/>
      <c r="Q84" s="91"/>
      <c r="R84" s="91"/>
      <c r="S84" s="91"/>
      <c r="T84" s="91"/>
      <c r="U84" s="91"/>
    </row>
    <row r="85" spans="1:21" x14ac:dyDescent="0.25">
      <c r="A85" s="198" t="s">
        <v>13</v>
      </c>
      <c r="B85" s="199"/>
      <c r="C85" s="200"/>
      <c r="D85" s="71">
        <v>25</v>
      </c>
      <c r="E85" s="71" t="s">
        <v>79</v>
      </c>
      <c r="F85" s="75">
        <v>1.64</v>
      </c>
      <c r="G85" s="75">
        <f>0.28/100*45</f>
        <v>0.12600000000000003</v>
      </c>
      <c r="H85" s="75">
        <v>7.22</v>
      </c>
      <c r="I85" s="75">
        <v>40.799999999999997</v>
      </c>
      <c r="J85" s="66">
        <v>0</v>
      </c>
      <c r="P85" s="91"/>
      <c r="Q85" s="91"/>
      <c r="R85" s="91"/>
      <c r="S85" s="91"/>
      <c r="T85" s="91"/>
      <c r="U85" s="91"/>
    </row>
    <row r="86" spans="1:21" ht="12.6" customHeight="1" x14ac:dyDescent="0.25">
      <c r="A86" s="207" t="s">
        <v>12</v>
      </c>
      <c r="B86" s="208"/>
      <c r="C86" s="209"/>
      <c r="D86" s="77"/>
      <c r="E86" s="77"/>
      <c r="F86" s="101">
        <f>SUM(F78:F85)</f>
        <v>18.686</v>
      </c>
      <c r="G86" s="101">
        <f t="shared" ref="G86:I86" si="3">SUM(G78:G85)</f>
        <v>26.573999999999998</v>
      </c>
      <c r="H86" s="101">
        <f t="shared" si="3"/>
        <v>125.684</v>
      </c>
      <c r="I86" s="101">
        <f t="shared" si="3"/>
        <v>745.99649999999997</v>
      </c>
      <c r="J86" s="71">
        <f>SUM(J78:J85)</f>
        <v>41.068000000000005</v>
      </c>
      <c r="P86" s="91"/>
      <c r="Q86" s="91"/>
      <c r="R86" s="91"/>
      <c r="S86" s="91"/>
      <c r="T86" s="91"/>
      <c r="U86" s="91"/>
    </row>
    <row r="87" spans="1:21" x14ac:dyDescent="0.25">
      <c r="A87" s="214" t="s">
        <v>37</v>
      </c>
      <c r="B87" s="214"/>
      <c r="C87" s="214"/>
      <c r="D87" s="214"/>
      <c r="E87" s="214"/>
      <c r="F87" s="214"/>
      <c r="G87" s="214"/>
      <c r="H87" s="214"/>
      <c r="I87" s="214"/>
      <c r="J87" s="71"/>
      <c r="P87" s="91"/>
      <c r="Q87" s="91"/>
      <c r="R87" s="91"/>
      <c r="S87" s="91"/>
      <c r="T87" s="91"/>
      <c r="U87" s="91"/>
    </row>
    <row r="88" spans="1:21" x14ac:dyDescent="0.25">
      <c r="A88" s="81" t="s">
        <v>63</v>
      </c>
      <c r="B88" s="81"/>
      <c r="C88" s="113"/>
      <c r="D88" s="71">
        <v>100</v>
      </c>
      <c r="E88" s="71">
        <v>294.20049999999998</v>
      </c>
      <c r="F88" s="75">
        <v>5.95</v>
      </c>
      <c r="G88" s="75">
        <v>5.68</v>
      </c>
      <c r="H88" s="75">
        <v>18.53</v>
      </c>
      <c r="I88" s="75">
        <v>149</v>
      </c>
      <c r="J88" s="71">
        <v>0.8</v>
      </c>
      <c r="P88" s="91"/>
      <c r="Q88" s="91"/>
      <c r="R88" s="91"/>
      <c r="S88" s="91"/>
      <c r="T88" s="91"/>
      <c r="U88" s="91"/>
    </row>
    <row r="89" spans="1:21" x14ac:dyDescent="0.25">
      <c r="A89" s="215" t="s">
        <v>73</v>
      </c>
      <c r="B89" s="215"/>
      <c r="C89" s="215"/>
      <c r="D89" s="74">
        <v>180</v>
      </c>
      <c r="E89" s="71" t="s">
        <v>173</v>
      </c>
      <c r="F89" s="75">
        <v>2.1</v>
      </c>
      <c r="G89" s="75">
        <v>1.95</v>
      </c>
      <c r="H89" s="75">
        <v>15.57</v>
      </c>
      <c r="I89" s="75">
        <v>88.21</v>
      </c>
      <c r="J89" s="73">
        <v>0.7</v>
      </c>
    </row>
    <row r="90" spans="1:21" x14ac:dyDescent="0.25">
      <c r="A90" s="69" t="s">
        <v>50</v>
      </c>
      <c r="D90" s="71">
        <v>200</v>
      </c>
      <c r="E90" s="71"/>
      <c r="F90" s="75">
        <v>0.72</v>
      </c>
      <c r="G90" s="75">
        <v>0.72</v>
      </c>
      <c r="H90" s="75">
        <v>17.64</v>
      </c>
      <c r="I90" s="75">
        <f t="shared" ref="I90" si="4">(F90+H90)*4+G90</f>
        <v>74.16</v>
      </c>
      <c r="J90" s="66">
        <v>9</v>
      </c>
    </row>
    <row r="91" spans="1:21" x14ac:dyDescent="0.25">
      <c r="A91" s="204" t="s">
        <v>12</v>
      </c>
      <c r="B91" s="205"/>
      <c r="C91" s="206"/>
      <c r="D91" s="66">
        <f>SUM(D88:D90)</f>
        <v>480</v>
      </c>
      <c r="E91" s="66"/>
      <c r="F91" s="67">
        <f>SUM(F88:F90)</f>
        <v>8.7700000000000014</v>
      </c>
      <c r="G91" s="67">
        <f>SUM(G88:G90)</f>
        <v>8.35</v>
      </c>
      <c r="H91" s="67">
        <f>SUM(H88:H90)</f>
        <v>51.74</v>
      </c>
      <c r="I91" s="67">
        <f>SUM(I88:I90)</f>
        <v>311.37</v>
      </c>
      <c r="J91" s="66">
        <f>SUM(J88:J90)</f>
        <v>10.5</v>
      </c>
    </row>
    <row r="92" spans="1:21" x14ac:dyDescent="0.25">
      <c r="A92" s="204" t="s">
        <v>14</v>
      </c>
      <c r="B92" s="205"/>
      <c r="C92" s="206"/>
      <c r="D92" s="66"/>
      <c r="E92" s="66"/>
      <c r="F92" s="67">
        <f>F72+F76+F86+F91</f>
        <v>45.126000000000005</v>
      </c>
      <c r="G92" s="67">
        <f>G72+G76+G86+G91</f>
        <v>63.774000000000001</v>
      </c>
      <c r="H92" s="67">
        <f>H72+H76+H86+H91</f>
        <v>253.07999999999998</v>
      </c>
      <c r="I92" s="67">
        <f>I72+I76+I86+I91</f>
        <v>1677.5144999999998</v>
      </c>
      <c r="J92" s="66">
        <f>J72+J76+J86+J91</f>
        <v>52.268000000000008</v>
      </c>
    </row>
    <row r="93" spans="1:21" x14ac:dyDescent="0.25">
      <c r="A93" s="95"/>
      <c r="B93" s="95"/>
      <c r="C93" s="95"/>
      <c r="D93" s="96"/>
      <c r="E93" s="96"/>
      <c r="F93" s="97"/>
      <c r="G93" s="97"/>
      <c r="H93" s="97"/>
      <c r="I93" s="97"/>
      <c r="J93" s="96"/>
    </row>
    <row r="94" spans="1:21" x14ac:dyDescent="0.25">
      <c r="A94" s="95"/>
      <c r="B94" s="197"/>
      <c r="C94" s="197"/>
      <c r="D94" s="197"/>
      <c r="E94" s="114"/>
      <c r="F94" s="114"/>
      <c r="G94" s="115"/>
      <c r="H94" s="115"/>
      <c r="I94" s="115"/>
      <c r="J94" s="115"/>
      <c r="K94" s="114"/>
    </row>
    <row r="95" spans="1:21" x14ac:dyDescent="0.25">
      <c r="A95" s="95"/>
      <c r="B95" s="95"/>
      <c r="C95" s="95"/>
      <c r="D95" s="96"/>
      <c r="E95" s="96"/>
      <c r="F95" s="97"/>
      <c r="G95" s="97"/>
      <c r="H95" s="97"/>
      <c r="I95" s="97"/>
      <c r="J95" s="96"/>
    </row>
    <row r="96" spans="1:21" ht="42.75" x14ac:dyDescent="0.25">
      <c r="A96" s="223" t="s">
        <v>0</v>
      </c>
      <c r="B96" s="223"/>
      <c r="C96" s="223"/>
      <c r="D96" s="66" t="s">
        <v>1</v>
      </c>
      <c r="E96" s="66" t="s">
        <v>2</v>
      </c>
      <c r="F96" s="67" t="s">
        <v>3</v>
      </c>
      <c r="G96" s="67" t="s">
        <v>4</v>
      </c>
      <c r="H96" s="67" t="s">
        <v>28</v>
      </c>
      <c r="I96" s="68" t="s">
        <v>75</v>
      </c>
      <c r="J96" s="98" t="s">
        <v>83</v>
      </c>
    </row>
    <row r="97" spans="1:10" ht="14.45" customHeight="1" x14ac:dyDescent="0.25">
      <c r="A97" s="214" t="s">
        <v>5</v>
      </c>
      <c r="B97" s="214"/>
      <c r="C97" s="214"/>
      <c r="D97" s="214"/>
      <c r="E97" s="214"/>
      <c r="F97" s="214"/>
      <c r="G97" s="214"/>
      <c r="H97" s="214"/>
      <c r="I97" s="214"/>
      <c r="J97" s="214"/>
    </row>
    <row r="98" spans="1:10" ht="13.9" customHeight="1" x14ac:dyDescent="0.25">
      <c r="A98" s="214" t="s">
        <v>18</v>
      </c>
      <c r="B98" s="214"/>
      <c r="C98" s="214"/>
      <c r="D98" s="214"/>
      <c r="E98" s="214"/>
      <c r="F98" s="214"/>
      <c r="G98" s="214"/>
      <c r="H98" s="214"/>
      <c r="I98" s="214"/>
      <c r="J98" s="214"/>
    </row>
    <row r="99" spans="1:10" ht="13.9" customHeight="1" x14ac:dyDescent="0.25">
      <c r="A99" s="214" t="s">
        <v>9</v>
      </c>
      <c r="B99" s="214"/>
      <c r="C99" s="214"/>
      <c r="D99" s="214"/>
      <c r="E99" s="214"/>
      <c r="F99" s="214"/>
      <c r="G99" s="214"/>
      <c r="H99" s="214"/>
      <c r="I99" s="214"/>
      <c r="J99" s="214"/>
    </row>
    <row r="100" spans="1:10" ht="27" customHeight="1" x14ac:dyDescent="0.25">
      <c r="A100" s="213" t="s">
        <v>180</v>
      </c>
      <c r="B100" s="213"/>
      <c r="C100" s="213"/>
      <c r="D100" s="71" t="s">
        <v>56</v>
      </c>
      <c r="E100" s="71">
        <v>91.200500000000005</v>
      </c>
      <c r="F100" s="75">
        <v>4.0750000000000002</v>
      </c>
      <c r="G100" s="75">
        <v>4.1500000000000004</v>
      </c>
      <c r="H100" s="75">
        <v>20.85</v>
      </c>
      <c r="I100" s="75">
        <f>(F100+H100)*4+G100*6</f>
        <v>124.60000000000001</v>
      </c>
      <c r="J100" s="71">
        <v>0</v>
      </c>
    </row>
    <row r="101" spans="1:10" x14ac:dyDescent="0.25">
      <c r="A101" s="201" t="s">
        <v>73</v>
      </c>
      <c r="B101" s="202"/>
      <c r="C101" s="203"/>
      <c r="D101" s="77">
        <v>180</v>
      </c>
      <c r="E101" s="71" t="s">
        <v>173</v>
      </c>
      <c r="F101" s="75">
        <v>0.1</v>
      </c>
      <c r="G101" s="75">
        <v>0.03</v>
      </c>
      <c r="H101" s="75">
        <v>10</v>
      </c>
      <c r="I101" s="75">
        <f t="shared" ref="I101:I102" si="5">(F101+H101)*4+G101*6</f>
        <v>40.58</v>
      </c>
      <c r="J101" s="66">
        <v>0</v>
      </c>
    </row>
    <row r="102" spans="1:10" ht="18.600000000000001" customHeight="1" x14ac:dyDescent="0.25">
      <c r="A102" s="79" t="s">
        <v>107</v>
      </c>
      <c r="B102" s="79"/>
      <c r="C102" s="79"/>
      <c r="D102" s="76" t="s">
        <v>103</v>
      </c>
      <c r="E102" s="71" t="s">
        <v>143</v>
      </c>
      <c r="F102" s="75">
        <v>2.15</v>
      </c>
      <c r="G102" s="75">
        <v>6.84</v>
      </c>
      <c r="H102" s="75">
        <v>25.7</v>
      </c>
      <c r="I102" s="75">
        <f t="shared" si="5"/>
        <v>152.44</v>
      </c>
      <c r="J102" s="66">
        <v>0.8</v>
      </c>
    </row>
    <row r="103" spans="1:10" ht="18" customHeight="1" x14ac:dyDescent="0.25">
      <c r="A103" s="204" t="s">
        <v>12</v>
      </c>
      <c r="B103" s="205"/>
      <c r="C103" s="206"/>
      <c r="D103" s="71"/>
      <c r="E103" s="71"/>
      <c r="F103" s="67">
        <f t="shared" ref="F103:G103" si="6">SUM(F100:F102)</f>
        <v>6.3249999999999993</v>
      </c>
      <c r="G103" s="67">
        <f t="shared" si="6"/>
        <v>11.02</v>
      </c>
      <c r="H103" s="67">
        <f>SUM(H100:H102)</f>
        <v>56.55</v>
      </c>
      <c r="I103" s="67">
        <f>SUM(I100:I102)</f>
        <v>317.62</v>
      </c>
      <c r="J103" s="71">
        <f>SUM(J100:J102)</f>
        <v>0.8</v>
      </c>
    </row>
    <row r="104" spans="1:10" x14ac:dyDescent="0.25">
      <c r="A104" s="223" t="s">
        <v>8</v>
      </c>
      <c r="B104" s="223"/>
      <c r="C104" s="223"/>
      <c r="D104" s="223"/>
      <c r="E104" s="223"/>
      <c r="F104" s="223"/>
      <c r="G104" s="223"/>
      <c r="H104" s="223"/>
      <c r="I104" s="223"/>
      <c r="J104" s="66"/>
    </row>
    <row r="105" spans="1:10" x14ac:dyDescent="0.25">
      <c r="A105" s="198" t="s">
        <v>46</v>
      </c>
      <c r="B105" s="199"/>
      <c r="C105" s="200"/>
      <c r="D105" s="71">
        <v>180</v>
      </c>
      <c r="E105" s="71">
        <v>255.20050000000001</v>
      </c>
      <c r="F105" s="75">
        <v>2.1</v>
      </c>
      <c r="G105" s="75">
        <v>1.95</v>
      </c>
      <c r="H105" s="75">
        <v>12.91</v>
      </c>
      <c r="I105" s="75">
        <v>77.56</v>
      </c>
      <c r="J105" s="71">
        <v>0.8</v>
      </c>
    </row>
    <row r="106" spans="1:10" x14ac:dyDescent="0.25">
      <c r="A106" s="204" t="s">
        <v>12</v>
      </c>
      <c r="B106" s="205"/>
      <c r="C106" s="206"/>
      <c r="D106" s="71"/>
      <c r="E106" s="71"/>
      <c r="F106" s="67">
        <f>SUM(F105:F105)</f>
        <v>2.1</v>
      </c>
      <c r="G106" s="67">
        <f>SUM(G105:G105)</f>
        <v>1.95</v>
      </c>
      <c r="H106" s="67">
        <f>SUM(H105:H105)</f>
        <v>12.91</v>
      </c>
      <c r="I106" s="67">
        <f>SUM(I105:I105)</f>
        <v>77.56</v>
      </c>
      <c r="J106" s="71">
        <v>4</v>
      </c>
    </row>
    <row r="107" spans="1:10" ht="16.149999999999999" customHeight="1" x14ac:dyDescent="0.25">
      <c r="A107" s="214" t="s">
        <v>11</v>
      </c>
      <c r="B107" s="214"/>
      <c r="C107" s="214"/>
      <c r="D107" s="214"/>
      <c r="E107" s="214"/>
      <c r="F107" s="214"/>
      <c r="G107" s="214"/>
      <c r="H107" s="214"/>
      <c r="I107" s="214"/>
      <c r="J107" s="71"/>
    </row>
    <row r="108" spans="1:10" ht="45" hidden="1" customHeight="1" x14ac:dyDescent="0.25">
      <c r="A108" s="222" t="s">
        <v>42</v>
      </c>
      <c r="B108" s="222"/>
      <c r="C108" s="222"/>
      <c r="D108" s="77">
        <v>60</v>
      </c>
      <c r="E108" s="70"/>
      <c r="F108" s="101"/>
      <c r="G108" s="101"/>
      <c r="H108" s="101"/>
      <c r="I108" s="101"/>
      <c r="J108" s="71"/>
    </row>
    <row r="109" spans="1:10" ht="16.149999999999999" customHeight="1" x14ac:dyDescent="0.25">
      <c r="A109" s="222" t="s">
        <v>96</v>
      </c>
      <c r="B109" s="222"/>
      <c r="C109" s="222"/>
      <c r="D109" s="77">
        <v>60</v>
      </c>
      <c r="E109" s="77">
        <v>78.200400000000002</v>
      </c>
      <c r="F109" s="72">
        <v>1.1399999999999999</v>
      </c>
      <c r="G109" s="72">
        <v>2.04</v>
      </c>
      <c r="H109" s="72">
        <v>7.01</v>
      </c>
      <c r="I109" s="72">
        <f>(F109+H109)*4+G109*9</f>
        <v>50.96</v>
      </c>
      <c r="J109" s="71">
        <v>11.3</v>
      </c>
    </row>
    <row r="110" spans="1:10" ht="25.9" customHeight="1" x14ac:dyDescent="0.25">
      <c r="A110" s="232" t="s">
        <v>157</v>
      </c>
      <c r="B110" s="233"/>
      <c r="C110" s="234"/>
      <c r="D110" s="71" t="s">
        <v>155</v>
      </c>
      <c r="E110" s="71">
        <v>36.200499999999998</v>
      </c>
      <c r="F110" s="75">
        <v>3.24</v>
      </c>
      <c r="G110" s="75">
        <v>12.3</v>
      </c>
      <c r="H110" s="75">
        <v>11.74</v>
      </c>
      <c r="I110" s="72">
        <f t="shared" ref="I110:I115" si="7">(F110+H110)*4+G110*9</f>
        <v>170.62</v>
      </c>
      <c r="J110" s="71">
        <v>9.6</v>
      </c>
    </row>
    <row r="111" spans="1:10" x14ac:dyDescent="0.25">
      <c r="A111" s="198" t="s">
        <v>123</v>
      </c>
      <c r="B111" s="199"/>
      <c r="C111" s="200"/>
      <c r="D111" s="71" t="s">
        <v>124</v>
      </c>
      <c r="E111" s="71">
        <v>144.20050000000001</v>
      </c>
      <c r="F111" s="75">
        <v>14.45</v>
      </c>
      <c r="G111" s="75">
        <v>15.69</v>
      </c>
      <c r="H111" s="75">
        <v>2.84</v>
      </c>
      <c r="I111" s="72">
        <f t="shared" si="7"/>
        <v>210.37</v>
      </c>
      <c r="J111" s="71">
        <v>12.2</v>
      </c>
    </row>
    <row r="112" spans="1:10" x14ac:dyDescent="0.25">
      <c r="A112" s="198" t="s">
        <v>19</v>
      </c>
      <c r="B112" s="199"/>
      <c r="C112" s="200"/>
      <c r="D112" s="71">
        <v>170</v>
      </c>
      <c r="E112" s="71">
        <v>200.20050000000001</v>
      </c>
      <c r="F112" s="75">
        <v>19.559999999999999</v>
      </c>
      <c r="G112" s="75">
        <v>3.65</v>
      </c>
      <c r="H112" s="75">
        <v>2.16</v>
      </c>
      <c r="I112" s="72">
        <f t="shared" si="7"/>
        <v>119.72999999999999</v>
      </c>
      <c r="J112" s="71">
        <v>0.3</v>
      </c>
    </row>
    <row r="113" spans="1:10" x14ac:dyDescent="0.25">
      <c r="A113" s="79" t="s">
        <v>44</v>
      </c>
      <c r="B113" s="79"/>
      <c r="C113" s="79"/>
      <c r="D113" s="71">
        <v>180</v>
      </c>
      <c r="E113" s="71">
        <v>241.20050000000001</v>
      </c>
      <c r="F113" s="75">
        <v>0.08</v>
      </c>
      <c r="G113" s="75">
        <v>4.0599999999999996</v>
      </c>
      <c r="H113" s="75">
        <v>17.46</v>
      </c>
      <c r="I113" s="75">
        <v>70.150000000000006</v>
      </c>
      <c r="J113" s="70">
        <v>0.6</v>
      </c>
    </row>
    <row r="114" spans="1:10" x14ac:dyDescent="0.25">
      <c r="A114" s="201" t="s">
        <v>23</v>
      </c>
      <c r="B114" s="202"/>
      <c r="C114" s="203"/>
      <c r="D114" s="71">
        <v>45</v>
      </c>
      <c r="E114" s="71" t="s">
        <v>80</v>
      </c>
      <c r="F114" s="75">
        <v>3.69</v>
      </c>
      <c r="G114" s="75">
        <v>3.6</v>
      </c>
      <c r="H114" s="75">
        <v>22.6</v>
      </c>
      <c r="I114" s="72">
        <f t="shared" si="7"/>
        <v>137.56</v>
      </c>
      <c r="J114" s="66">
        <v>0</v>
      </c>
    </row>
    <row r="115" spans="1:10" x14ac:dyDescent="0.25">
      <c r="A115" s="198" t="s">
        <v>13</v>
      </c>
      <c r="B115" s="199"/>
      <c r="C115" s="200"/>
      <c r="D115" s="71">
        <v>30</v>
      </c>
      <c r="E115" s="71" t="s">
        <v>79</v>
      </c>
      <c r="F115" s="75">
        <v>1.64</v>
      </c>
      <c r="G115" s="75">
        <f>0.28/100*45</f>
        <v>0.12600000000000003</v>
      </c>
      <c r="H115" s="75">
        <v>7.22</v>
      </c>
      <c r="I115" s="72">
        <f t="shared" si="7"/>
        <v>36.573999999999998</v>
      </c>
      <c r="J115" s="70">
        <v>0</v>
      </c>
    </row>
    <row r="116" spans="1:10" x14ac:dyDescent="0.25">
      <c r="A116" s="204" t="s">
        <v>12</v>
      </c>
      <c r="B116" s="205"/>
      <c r="C116" s="206"/>
      <c r="D116" s="71"/>
      <c r="E116" s="71"/>
      <c r="F116" s="67">
        <f>SUM(F109:F115)</f>
        <v>43.8</v>
      </c>
      <c r="G116" s="67">
        <f>SUM(G109:G115)</f>
        <v>41.466000000000001</v>
      </c>
      <c r="H116" s="67">
        <f>SUM(H109:H115)</f>
        <v>71.03</v>
      </c>
      <c r="I116" s="67">
        <f>SUM(I109:I115)</f>
        <v>795.96400000000006</v>
      </c>
      <c r="J116" s="77">
        <f>SUM(J109:J115)</f>
        <v>33.999999999999993</v>
      </c>
    </row>
    <row r="117" spans="1:10" ht="16.149999999999999" customHeight="1" x14ac:dyDescent="0.25">
      <c r="A117" s="214" t="s">
        <v>37</v>
      </c>
      <c r="B117" s="214"/>
      <c r="C117" s="214"/>
      <c r="D117" s="214"/>
      <c r="E117" s="214"/>
      <c r="F117" s="214"/>
      <c r="G117" s="214"/>
      <c r="H117" s="214"/>
      <c r="I117" s="214"/>
      <c r="J117" s="72"/>
    </row>
    <row r="118" spans="1:10" ht="15.6" customHeight="1" x14ac:dyDescent="0.25">
      <c r="A118" s="213" t="s">
        <v>158</v>
      </c>
      <c r="B118" s="213"/>
      <c r="C118" s="213"/>
      <c r="D118" s="71">
        <v>60</v>
      </c>
      <c r="E118" s="71">
        <v>10.2005</v>
      </c>
      <c r="F118" s="75">
        <v>7.13</v>
      </c>
      <c r="G118" s="75">
        <v>5.32</v>
      </c>
      <c r="H118" s="75">
        <v>33.619999999999997</v>
      </c>
      <c r="I118" s="75">
        <f>(F118+H118)*4+G118</f>
        <v>168.32</v>
      </c>
      <c r="J118" s="116">
        <v>0.7</v>
      </c>
    </row>
    <row r="119" spans="1:10" ht="15.6" customHeight="1" x14ac:dyDescent="0.25">
      <c r="A119" s="79" t="s">
        <v>120</v>
      </c>
      <c r="B119" s="79"/>
      <c r="C119" s="79"/>
      <c r="D119" s="71">
        <v>150</v>
      </c>
      <c r="E119" s="71">
        <v>117.20050000000001</v>
      </c>
      <c r="F119" s="75">
        <v>14.4</v>
      </c>
      <c r="G119" s="75">
        <v>28.3</v>
      </c>
      <c r="H119" s="75">
        <v>23.6</v>
      </c>
      <c r="I119" s="75">
        <f>228.67*1.5</f>
        <v>343.005</v>
      </c>
      <c r="J119" s="73">
        <v>0.3</v>
      </c>
    </row>
    <row r="120" spans="1:10" ht="15.6" customHeight="1" x14ac:dyDescent="0.25">
      <c r="A120" s="79" t="s">
        <v>55</v>
      </c>
      <c r="B120" s="79"/>
      <c r="C120" s="79"/>
      <c r="D120" s="71">
        <v>15</v>
      </c>
      <c r="E120" s="71">
        <v>224.20050000000001</v>
      </c>
      <c r="F120" s="75">
        <v>0.56999999999999995</v>
      </c>
      <c r="G120" s="75">
        <v>2.6</v>
      </c>
      <c r="H120" s="75">
        <v>3.22</v>
      </c>
      <c r="I120" s="75">
        <v>23.49</v>
      </c>
      <c r="J120" s="73">
        <v>0.5</v>
      </c>
    </row>
    <row r="121" spans="1:10" x14ac:dyDescent="0.25">
      <c r="A121" s="198" t="s">
        <v>61</v>
      </c>
      <c r="B121" s="199"/>
      <c r="C121" s="200"/>
      <c r="D121" s="71">
        <v>200</v>
      </c>
      <c r="E121" s="71" t="s">
        <v>47</v>
      </c>
      <c r="F121" s="75">
        <v>6.87</v>
      </c>
      <c r="G121" s="75">
        <v>0</v>
      </c>
      <c r="H121" s="75">
        <v>33.04</v>
      </c>
      <c r="I121" s="75">
        <v>159.63999999999999</v>
      </c>
      <c r="J121" s="70">
        <v>4</v>
      </c>
    </row>
    <row r="122" spans="1:10" x14ac:dyDescent="0.25">
      <c r="A122" s="198" t="s">
        <v>13</v>
      </c>
      <c r="B122" s="199"/>
      <c r="C122" s="200"/>
      <c r="D122" s="71">
        <v>30</v>
      </c>
      <c r="E122" s="71" t="s">
        <v>79</v>
      </c>
      <c r="F122" s="75">
        <v>1.64</v>
      </c>
      <c r="G122" s="75">
        <f>0.28/100*45</f>
        <v>0.12600000000000003</v>
      </c>
      <c r="H122" s="75">
        <v>7.22</v>
      </c>
      <c r="I122" s="72">
        <f t="shared" ref="I122" si="8">(F122+H122)*4+G122*9</f>
        <v>36.573999999999998</v>
      </c>
      <c r="J122" s="70">
        <v>0</v>
      </c>
    </row>
    <row r="123" spans="1:10" x14ac:dyDescent="0.25">
      <c r="A123" s="204" t="s">
        <v>12</v>
      </c>
      <c r="B123" s="205"/>
      <c r="C123" s="206"/>
      <c r="D123" s="66">
        <v>455</v>
      </c>
      <c r="E123" s="66"/>
      <c r="F123" s="67">
        <f>SUM(F118:F122)</f>
        <v>30.610000000000003</v>
      </c>
      <c r="G123" s="67">
        <f>SUM(G118:G122)</f>
        <v>36.346000000000004</v>
      </c>
      <c r="H123" s="67">
        <f>SUM(H118:H122)</f>
        <v>100.69999999999999</v>
      </c>
      <c r="I123" s="67">
        <f>SUM(I118:I122)</f>
        <v>731.02899999999988</v>
      </c>
      <c r="J123" s="117">
        <f>SUM(J118:J122)</f>
        <v>5.5</v>
      </c>
    </row>
    <row r="124" spans="1:10" ht="15.75" thickBot="1" x14ac:dyDescent="0.3">
      <c r="A124" s="118" t="s">
        <v>14</v>
      </c>
      <c r="B124" s="119"/>
      <c r="C124" s="119"/>
      <c r="D124" s="120"/>
      <c r="E124" s="121"/>
      <c r="F124" s="122">
        <f>F103+F106+F116+F123</f>
        <v>82.834999999999994</v>
      </c>
      <c r="G124" s="123">
        <f>G103+G106+G116+G123</f>
        <v>90.782000000000011</v>
      </c>
      <c r="H124" s="124">
        <f>H103+H106+H116+H123</f>
        <v>241.19</v>
      </c>
      <c r="I124" s="67">
        <f>I103+I106+I116+I123</f>
        <v>1922.1729999999998</v>
      </c>
      <c r="J124" s="117">
        <f>J123+J116+J106+J103</f>
        <v>44.29999999999999</v>
      </c>
    </row>
    <row r="125" spans="1:10" x14ac:dyDescent="0.25">
      <c r="A125" s="95"/>
      <c r="B125" s="95"/>
      <c r="C125" s="95"/>
      <c r="D125" s="96"/>
      <c r="E125" s="96"/>
      <c r="F125" s="97"/>
      <c r="G125" s="97"/>
      <c r="H125" s="97"/>
      <c r="I125" s="97"/>
      <c r="J125" s="96"/>
    </row>
    <row r="126" spans="1:10" x14ac:dyDescent="0.25">
      <c r="D126" s="69"/>
      <c r="E126" s="69"/>
      <c r="F126" s="69"/>
      <c r="G126" s="69"/>
      <c r="H126" s="69"/>
      <c r="I126" s="69"/>
      <c r="J126" s="69"/>
    </row>
    <row r="127" spans="1:10" x14ac:dyDescent="0.25">
      <c r="D127" s="69"/>
      <c r="E127" s="69"/>
      <c r="F127" s="69"/>
      <c r="G127" s="69"/>
      <c r="H127" s="69"/>
      <c r="I127" s="69"/>
      <c r="J127" s="69"/>
    </row>
    <row r="128" spans="1:10" x14ac:dyDescent="0.25">
      <c r="A128" s="95"/>
      <c r="B128" s="95"/>
      <c r="C128" s="95"/>
      <c r="D128" s="96"/>
      <c r="E128" s="96"/>
      <c r="F128" s="97"/>
      <c r="G128" s="97"/>
      <c r="H128" s="97"/>
      <c r="I128" s="97"/>
      <c r="J128" s="96"/>
    </row>
    <row r="129" spans="1:10" ht="17.45" customHeight="1" x14ac:dyDescent="0.25">
      <c r="A129" s="95"/>
      <c r="B129" s="95"/>
      <c r="C129" s="95"/>
      <c r="D129" s="96"/>
      <c r="E129" s="96"/>
      <c r="F129" s="97"/>
      <c r="G129" s="97"/>
      <c r="H129" s="97"/>
      <c r="I129" s="97"/>
      <c r="J129" s="96"/>
    </row>
    <row r="130" spans="1:10" ht="44.45" customHeight="1" x14ac:dyDescent="0.25">
      <c r="A130" s="223" t="s">
        <v>0</v>
      </c>
      <c r="B130" s="223"/>
      <c r="C130" s="223"/>
      <c r="D130" s="66" t="s">
        <v>1</v>
      </c>
      <c r="E130" s="66" t="s">
        <v>2</v>
      </c>
      <c r="F130" s="67" t="s">
        <v>3</v>
      </c>
      <c r="G130" s="67" t="s">
        <v>4</v>
      </c>
      <c r="H130" s="67" t="s">
        <v>28</v>
      </c>
      <c r="I130" s="68" t="s">
        <v>75</v>
      </c>
      <c r="J130" s="66" t="s">
        <v>76</v>
      </c>
    </row>
    <row r="131" spans="1:10" x14ac:dyDescent="0.25">
      <c r="A131" s="223" t="s">
        <v>5</v>
      </c>
      <c r="B131" s="223"/>
      <c r="C131" s="223"/>
      <c r="D131" s="223"/>
      <c r="E131" s="223"/>
      <c r="F131" s="223"/>
      <c r="G131" s="223"/>
      <c r="H131" s="223"/>
      <c r="I131" s="223"/>
      <c r="J131" s="223"/>
    </row>
    <row r="132" spans="1:10" x14ac:dyDescent="0.25">
      <c r="A132" s="223" t="s">
        <v>20</v>
      </c>
      <c r="B132" s="223"/>
      <c r="C132" s="223"/>
      <c r="D132" s="223"/>
      <c r="E132" s="223"/>
      <c r="F132" s="223"/>
      <c r="G132" s="223"/>
      <c r="H132" s="223"/>
      <c r="I132" s="223"/>
      <c r="J132" s="223"/>
    </row>
    <row r="133" spans="1:10" x14ac:dyDescent="0.25">
      <c r="A133" s="223" t="s">
        <v>9</v>
      </c>
      <c r="B133" s="223"/>
      <c r="C133" s="223"/>
      <c r="D133" s="223"/>
      <c r="E133" s="223"/>
      <c r="F133" s="223"/>
      <c r="G133" s="223"/>
      <c r="H133" s="223"/>
      <c r="I133" s="223"/>
      <c r="J133" s="223"/>
    </row>
    <row r="134" spans="1:10" ht="27.6" customHeight="1" x14ac:dyDescent="0.25">
      <c r="A134" s="222" t="s">
        <v>181</v>
      </c>
      <c r="B134" s="222"/>
      <c r="C134" s="222"/>
      <c r="D134" s="90" t="s">
        <v>56</v>
      </c>
      <c r="E134" s="71">
        <v>84.200500000000005</v>
      </c>
      <c r="F134" s="72">
        <v>5.2</v>
      </c>
      <c r="G134" s="72">
        <v>7.19</v>
      </c>
      <c r="H134" s="72">
        <v>27.85</v>
      </c>
      <c r="I134" s="72">
        <f>(F134+H134)*4+G134*9</f>
        <v>196.91000000000003</v>
      </c>
      <c r="J134" s="71">
        <v>0</v>
      </c>
    </row>
    <row r="135" spans="1:10" ht="13.9" customHeight="1" x14ac:dyDescent="0.25">
      <c r="A135" s="235" t="s">
        <v>153</v>
      </c>
      <c r="B135" s="235"/>
      <c r="C135" s="235"/>
      <c r="D135" s="125">
        <v>180</v>
      </c>
      <c r="E135" s="126" t="s">
        <v>154</v>
      </c>
      <c r="F135" s="75">
        <v>4.8499999999999996</v>
      </c>
      <c r="G135" s="75">
        <v>5.04</v>
      </c>
      <c r="H135" s="75">
        <v>32.729999999999997</v>
      </c>
      <c r="I135" s="72">
        <v>195.71</v>
      </c>
      <c r="J135" s="126">
        <v>0.8</v>
      </c>
    </row>
    <row r="136" spans="1:10" x14ac:dyDescent="0.25">
      <c r="A136" s="79" t="s">
        <v>110</v>
      </c>
      <c r="B136" s="79"/>
      <c r="C136" s="79"/>
      <c r="D136" s="76" t="s">
        <v>126</v>
      </c>
      <c r="E136" s="71" t="s">
        <v>138</v>
      </c>
      <c r="F136" s="75">
        <v>1.45</v>
      </c>
      <c r="G136" s="75">
        <v>6.78</v>
      </c>
      <c r="H136" s="75">
        <v>0.05</v>
      </c>
      <c r="I136" s="72">
        <f t="shared" ref="I136" si="9">(F136+H136)*4+G136*9</f>
        <v>67.02000000000001</v>
      </c>
      <c r="J136" s="66">
        <v>0</v>
      </c>
    </row>
    <row r="137" spans="1:10" x14ac:dyDescent="0.25">
      <c r="A137" s="204" t="s">
        <v>12</v>
      </c>
      <c r="B137" s="205"/>
      <c r="C137" s="206"/>
      <c r="D137" s="71"/>
      <c r="E137" s="71"/>
      <c r="F137" s="67">
        <f>SUM(F134:F136)</f>
        <v>11.5</v>
      </c>
      <c r="G137" s="67">
        <f>SUM(G134:G136)</f>
        <v>19.010000000000002</v>
      </c>
      <c r="H137" s="67">
        <f>SUM(H134:H136)</f>
        <v>60.629999999999995</v>
      </c>
      <c r="I137" s="67">
        <f>SUM(I134:I136)</f>
        <v>459.64</v>
      </c>
      <c r="J137" s="71">
        <f>SUM(J134:J136)</f>
        <v>0.8</v>
      </c>
    </row>
    <row r="138" spans="1:10" x14ac:dyDescent="0.25">
      <c r="A138" s="223" t="s">
        <v>8</v>
      </c>
      <c r="B138" s="223"/>
      <c r="C138" s="223"/>
      <c r="D138" s="223"/>
      <c r="E138" s="223"/>
      <c r="F138" s="223"/>
      <c r="G138" s="223"/>
      <c r="H138" s="223"/>
      <c r="I138" s="223"/>
      <c r="J138" s="66"/>
    </row>
    <row r="139" spans="1:10" x14ac:dyDescent="0.25">
      <c r="A139" s="222" t="s">
        <v>119</v>
      </c>
      <c r="B139" s="222"/>
      <c r="C139" s="222"/>
      <c r="D139" s="77">
        <v>180</v>
      </c>
      <c r="E139" s="71" t="s">
        <v>78</v>
      </c>
      <c r="F139" s="75">
        <v>5.04</v>
      </c>
      <c r="G139" s="75">
        <v>4.5</v>
      </c>
      <c r="H139" s="75">
        <v>8.4600000000000009</v>
      </c>
      <c r="I139" s="75">
        <v>94.5</v>
      </c>
      <c r="J139" s="66">
        <v>0.7</v>
      </c>
    </row>
    <row r="140" spans="1:10" x14ac:dyDescent="0.25">
      <c r="A140" s="79" t="s">
        <v>38</v>
      </c>
      <c r="B140" s="79"/>
      <c r="C140" s="79"/>
      <c r="D140" s="71">
        <v>30</v>
      </c>
      <c r="E140" s="71" t="s">
        <v>85</v>
      </c>
      <c r="F140" s="75">
        <v>0.34</v>
      </c>
      <c r="G140" s="75">
        <v>1.93</v>
      </c>
      <c r="H140" s="75">
        <v>5.16</v>
      </c>
      <c r="I140" s="75">
        <v>40</v>
      </c>
      <c r="J140" s="66">
        <v>0</v>
      </c>
    </row>
    <row r="141" spans="1:10" x14ac:dyDescent="0.25">
      <c r="A141" s="204" t="s">
        <v>12</v>
      </c>
      <c r="B141" s="205"/>
      <c r="C141" s="206"/>
      <c r="D141" s="71"/>
      <c r="E141" s="71"/>
      <c r="F141" s="67">
        <f>SUM(F139:F140)</f>
        <v>5.38</v>
      </c>
      <c r="G141" s="67">
        <f>SUM(G139:G140)</f>
        <v>6.43</v>
      </c>
      <c r="H141" s="67">
        <f>SUM(H139:H140)</f>
        <v>13.620000000000001</v>
      </c>
      <c r="I141" s="67">
        <f>SUM(I139:I140)</f>
        <v>134.5</v>
      </c>
      <c r="J141" s="71">
        <f>SUM(J139:J140)</f>
        <v>0.7</v>
      </c>
    </row>
    <row r="142" spans="1:10" x14ac:dyDescent="0.25">
      <c r="A142" s="223" t="s">
        <v>11</v>
      </c>
      <c r="B142" s="223"/>
      <c r="C142" s="223"/>
      <c r="D142" s="223"/>
      <c r="E142" s="223"/>
      <c r="F142" s="223"/>
      <c r="G142" s="223"/>
      <c r="H142" s="223"/>
      <c r="I142" s="223"/>
      <c r="J142" s="71"/>
    </row>
    <row r="143" spans="1:10" x14ac:dyDescent="0.25">
      <c r="A143" s="220" t="s">
        <v>100</v>
      </c>
      <c r="B143" s="220"/>
      <c r="C143" s="220"/>
      <c r="D143" s="71">
        <v>60</v>
      </c>
      <c r="E143" s="71">
        <v>73.198300000000003</v>
      </c>
      <c r="F143" s="75">
        <v>3.95</v>
      </c>
      <c r="G143" s="75">
        <v>11.52</v>
      </c>
      <c r="H143" s="75">
        <v>15.88</v>
      </c>
      <c r="I143" s="75">
        <f>(F143+H143)*4+G143*9</f>
        <v>183</v>
      </c>
      <c r="J143" s="71">
        <v>12.6</v>
      </c>
    </row>
    <row r="144" spans="1:10" ht="29.45" customHeight="1" x14ac:dyDescent="0.25">
      <c r="A144" s="232" t="s">
        <v>146</v>
      </c>
      <c r="B144" s="233"/>
      <c r="C144" s="234"/>
      <c r="D144" s="74" t="s">
        <v>159</v>
      </c>
      <c r="E144" s="71">
        <v>27.200500000000002</v>
      </c>
      <c r="F144" s="75">
        <v>1.05</v>
      </c>
      <c r="G144" s="75">
        <v>3.36</v>
      </c>
      <c r="H144" s="75">
        <v>6.18</v>
      </c>
      <c r="I144" s="75">
        <f t="shared" ref="I144:I149" si="10">(F144+H144)*4+G144*9</f>
        <v>59.16</v>
      </c>
      <c r="J144" s="71">
        <v>12.3</v>
      </c>
    </row>
    <row r="145" spans="1:13" x14ac:dyDescent="0.25">
      <c r="A145" s="81" t="s">
        <v>64</v>
      </c>
      <c r="B145" s="81"/>
      <c r="C145" s="81"/>
      <c r="D145" s="71">
        <v>70</v>
      </c>
      <c r="E145" s="71" t="s">
        <v>101</v>
      </c>
      <c r="F145" s="72">
        <v>1.96</v>
      </c>
      <c r="G145" s="72">
        <v>2.17</v>
      </c>
      <c r="H145" s="72">
        <v>6.73</v>
      </c>
      <c r="I145" s="75">
        <f t="shared" si="10"/>
        <v>54.290000000000006</v>
      </c>
      <c r="J145" s="71">
        <v>0.8</v>
      </c>
    </row>
    <row r="146" spans="1:13" x14ac:dyDescent="0.25">
      <c r="A146" s="198" t="s">
        <v>127</v>
      </c>
      <c r="B146" s="199"/>
      <c r="C146" s="200"/>
      <c r="D146" s="71">
        <v>170</v>
      </c>
      <c r="E146" s="71">
        <v>541.20039999999995</v>
      </c>
      <c r="F146" s="75">
        <v>5.33</v>
      </c>
      <c r="G146" s="75">
        <v>4.6900000000000004</v>
      </c>
      <c r="H146" s="75">
        <v>35.590000000000003</v>
      </c>
      <c r="I146" s="75">
        <f t="shared" si="10"/>
        <v>205.89000000000001</v>
      </c>
      <c r="J146" s="77">
        <v>0</v>
      </c>
      <c r="K146" s="127"/>
    </row>
    <row r="147" spans="1:13" x14ac:dyDescent="0.25">
      <c r="A147" s="79" t="s">
        <v>45</v>
      </c>
      <c r="B147" s="79"/>
      <c r="C147" s="79"/>
      <c r="D147" s="71">
        <v>180</v>
      </c>
      <c r="E147" s="71">
        <v>256.20049999999998</v>
      </c>
      <c r="F147" s="75">
        <v>0.28999999999999998</v>
      </c>
      <c r="G147" s="75">
        <v>0.05</v>
      </c>
      <c r="H147" s="75">
        <v>15.99</v>
      </c>
      <c r="I147" s="75">
        <f t="shared" si="10"/>
        <v>65.570000000000007</v>
      </c>
      <c r="J147" s="66">
        <v>0.7</v>
      </c>
    </row>
    <row r="148" spans="1:13" x14ac:dyDescent="0.25">
      <c r="A148" s="198" t="s">
        <v>23</v>
      </c>
      <c r="B148" s="199"/>
      <c r="C148" s="200"/>
      <c r="D148" s="71">
        <v>45</v>
      </c>
      <c r="E148" s="71" t="s">
        <v>80</v>
      </c>
      <c r="F148" s="75">
        <v>3.69</v>
      </c>
      <c r="G148" s="75">
        <v>3.6</v>
      </c>
      <c r="H148" s="75">
        <v>22.6</v>
      </c>
      <c r="I148" s="75">
        <f t="shared" si="10"/>
        <v>137.56</v>
      </c>
      <c r="J148" s="66">
        <v>0</v>
      </c>
    </row>
    <row r="149" spans="1:13" x14ac:dyDescent="0.25">
      <c r="A149" s="198" t="s">
        <v>13</v>
      </c>
      <c r="B149" s="199"/>
      <c r="C149" s="200"/>
      <c r="D149" s="71">
        <v>25</v>
      </c>
      <c r="E149" s="71" t="s">
        <v>79</v>
      </c>
      <c r="F149" s="75">
        <v>1.64</v>
      </c>
      <c r="G149" s="75">
        <f>0.28/100*45</f>
        <v>0.12600000000000003</v>
      </c>
      <c r="H149" s="75">
        <v>7.22</v>
      </c>
      <c r="I149" s="75">
        <f t="shared" si="10"/>
        <v>36.573999999999998</v>
      </c>
      <c r="J149" s="66">
        <v>0</v>
      </c>
    </row>
    <row r="150" spans="1:13" x14ac:dyDescent="0.25">
      <c r="A150" s="204" t="s">
        <v>12</v>
      </c>
      <c r="B150" s="205"/>
      <c r="C150" s="206"/>
      <c r="D150" s="71"/>
      <c r="E150" s="71"/>
      <c r="F150" s="67">
        <f>SUM(F143:F149)</f>
        <v>17.91</v>
      </c>
      <c r="G150" s="67">
        <f>SUM(G143:G149)</f>
        <v>25.516000000000002</v>
      </c>
      <c r="H150" s="67">
        <f>SUM(H143:H149)</f>
        <v>110.19</v>
      </c>
      <c r="I150" s="67">
        <f>SUM(I143:I149)</f>
        <v>742.04399999999998</v>
      </c>
      <c r="J150" s="77">
        <f>SUM(J143:J149)</f>
        <v>26.4</v>
      </c>
      <c r="M150" s="91"/>
    </row>
    <row r="151" spans="1:13" x14ac:dyDescent="0.25">
      <c r="A151" s="214" t="s">
        <v>37</v>
      </c>
      <c r="B151" s="214"/>
      <c r="C151" s="214"/>
      <c r="D151" s="214"/>
      <c r="E151" s="214"/>
      <c r="F151" s="214"/>
      <c r="G151" s="214"/>
      <c r="H151" s="214"/>
      <c r="I151" s="214"/>
      <c r="J151" s="71"/>
    </row>
    <row r="152" spans="1:13" ht="15" customHeight="1" x14ac:dyDescent="0.25">
      <c r="A152" s="222" t="s">
        <v>27</v>
      </c>
      <c r="B152" s="222"/>
      <c r="C152" s="222"/>
      <c r="D152" s="90">
        <v>180</v>
      </c>
      <c r="E152" s="71">
        <v>44.200499999999998</v>
      </c>
      <c r="F152" s="72">
        <v>0.54</v>
      </c>
      <c r="G152" s="72">
        <v>3.09</v>
      </c>
      <c r="H152" s="72">
        <v>9.14</v>
      </c>
      <c r="I152" s="72">
        <f>(F152+H152)*4+G152*9</f>
        <v>66.53</v>
      </c>
      <c r="J152" s="77">
        <v>12.6</v>
      </c>
    </row>
    <row r="153" spans="1:13" ht="12" customHeight="1" x14ac:dyDescent="0.25">
      <c r="A153" s="216" t="s">
        <v>60</v>
      </c>
      <c r="B153" s="217"/>
      <c r="C153" s="218"/>
      <c r="D153" s="90">
        <v>70</v>
      </c>
      <c r="E153" s="71">
        <v>274.20049999999998</v>
      </c>
      <c r="F153" s="72">
        <v>27.27</v>
      </c>
      <c r="G153" s="72">
        <v>15.56</v>
      </c>
      <c r="H153" s="72">
        <v>27.44</v>
      </c>
      <c r="I153" s="72">
        <f t="shared" ref="I153:I155" si="11">(F153+H153)*4+G153*9</f>
        <v>358.88</v>
      </c>
      <c r="J153" s="77">
        <v>0.1</v>
      </c>
    </row>
    <row r="154" spans="1:13" x14ac:dyDescent="0.25">
      <c r="A154" s="201" t="s">
        <v>24</v>
      </c>
      <c r="B154" s="202"/>
      <c r="C154" s="203"/>
      <c r="D154" s="77">
        <v>200</v>
      </c>
      <c r="E154" s="71">
        <v>261.20049999999998</v>
      </c>
      <c r="F154" s="75">
        <v>1.28</v>
      </c>
      <c r="G154" s="75">
        <v>1.08</v>
      </c>
      <c r="H154" s="75">
        <v>13.97</v>
      </c>
      <c r="I154" s="72">
        <f t="shared" si="11"/>
        <v>70.72</v>
      </c>
      <c r="J154" s="77">
        <v>0.8</v>
      </c>
    </row>
    <row r="155" spans="1:13" x14ac:dyDescent="0.25">
      <c r="A155" s="201" t="s">
        <v>74</v>
      </c>
      <c r="B155" s="202"/>
      <c r="C155" s="203"/>
      <c r="D155" s="77">
        <v>25</v>
      </c>
      <c r="E155" s="71" t="s">
        <v>81</v>
      </c>
      <c r="F155" s="75">
        <v>1.64</v>
      </c>
      <c r="G155" s="75">
        <f>0.28/100*45</f>
        <v>0.12600000000000003</v>
      </c>
      <c r="H155" s="75">
        <v>7.22</v>
      </c>
      <c r="I155" s="72">
        <f t="shared" si="11"/>
        <v>36.573999999999998</v>
      </c>
      <c r="J155" s="77">
        <v>0</v>
      </c>
    </row>
    <row r="156" spans="1:13" ht="13.9" customHeight="1" x14ac:dyDescent="0.25">
      <c r="A156" s="207" t="s">
        <v>12</v>
      </c>
      <c r="B156" s="208"/>
      <c r="C156" s="209"/>
      <c r="D156" s="70"/>
      <c r="E156" s="70"/>
      <c r="F156" s="101">
        <f>SUM(F152:F155)</f>
        <v>30.73</v>
      </c>
      <c r="G156" s="101">
        <f>SUM(G152:G155)</f>
        <v>19.855999999999998</v>
      </c>
      <c r="H156" s="101">
        <f>SUM(H152:H155)</f>
        <v>57.769999999999996</v>
      </c>
      <c r="I156" s="101">
        <f>SUM(I152:I155)</f>
        <v>532.70399999999995</v>
      </c>
      <c r="J156" s="71">
        <f>SUM(J152:J155)</f>
        <v>13.5</v>
      </c>
    </row>
    <row r="157" spans="1:13" x14ac:dyDescent="0.25">
      <c r="A157" s="207" t="s">
        <v>14</v>
      </c>
      <c r="B157" s="208"/>
      <c r="C157" s="209"/>
      <c r="D157" s="70"/>
      <c r="E157" s="70"/>
      <c r="F157" s="101">
        <f>F137+F141+F150+F156</f>
        <v>65.52</v>
      </c>
      <c r="G157" s="101">
        <f>G137+G141+G150+G156</f>
        <v>70.811999999999998</v>
      </c>
      <c r="H157" s="101">
        <f>H137+H141+H150+H156</f>
        <v>242.20999999999998</v>
      </c>
      <c r="I157" s="101">
        <f>I137+I141+I150+I156</f>
        <v>1868.8879999999999</v>
      </c>
      <c r="J157" s="71">
        <f>J137+J141+J150+J156</f>
        <v>41.4</v>
      </c>
      <c r="L157" s="91"/>
    </row>
  </sheetData>
  <mergeCells count="117">
    <mergeCell ref="A1:C1"/>
    <mergeCell ref="A6:C6"/>
    <mergeCell ref="A4:I4"/>
    <mergeCell ref="A5:C5"/>
    <mergeCell ref="A2:J2"/>
    <mergeCell ref="A3:J3"/>
    <mergeCell ref="A45:I45"/>
    <mergeCell ref="A65:C65"/>
    <mergeCell ref="A48:C48"/>
    <mergeCell ref="A55:I55"/>
    <mergeCell ref="A46:C46"/>
    <mergeCell ref="A60:C60"/>
    <mergeCell ref="A61:C61"/>
    <mergeCell ref="A62:C62"/>
    <mergeCell ref="A9:I9"/>
    <mergeCell ref="A13:I13"/>
    <mergeCell ref="A34:C34"/>
    <mergeCell ref="A42:I42"/>
    <mergeCell ref="A10:C10"/>
    <mergeCell ref="A21:I21"/>
    <mergeCell ref="A15:C15"/>
    <mergeCell ref="A35:J35"/>
    <mergeCell ref="A36:J36"/>
    <mergeCell ref="A37:J37"/>
    <mergeCell ref="A152:C152"/>
    <mergeCell ref="A104:I104"/>
    <mergeCell ref="A107:I107"/>
    <mergeCell ref="A139:C139"/>
    <mergeCell ref="A142:I142"/>
    <mergeCell ref="A144:C144"/>
    <mergeCell ref="A135:C135"/>
    <mergeCell ref="A138:I138"/>
    <mergeCell ref="A118:C118"/>
    <mergeCell ref="A130:C130"/>
    <mergeCell ref="A137:C137"/>
    <mergeCell ref="A141:C141"/>
    <mergeCell ref="A148:C148"/>
    <mergeCell ref="A131:J131"/>
    <mergeCell ref="A132:J132"/>
    <mergeCell ref="A133:J133"/>
    <mergeCell ref="A123:C123"/>
    <mergeCell ref="A110:C110"/>
    <mergeCell ref="A105:C105"/>
    <mergeCell ref="A146:C146"/>
    <mergeCell ref="A66:J66"/>
    <mergeCell ref="A67:J67"/>
    <mergeCell ref="A68:J68"/>
    <mergeCell ref="A8:C8"/>
    <mergeCell ref="A11:C11"/>
    <mergeCell ref="A12:C12"/>
    <mergeCell ref="A40:C40"/>
    <mergeCell ref="A25:C25"/>
    <mergeCell ref="A47:C47"/>
    <mergeCell ref="A50:C50"/>
    <mergeCell ref="A23:C23"/>
    <mergeCell ref="A153:C153"/>
    <mergeCell ref="A39:C39"/>
    <mergeCell ref="A7:C7"/>
    <mergeCell ref="A56:C56"/>
    <mergeCell ref="A57:C57"/>
    <mergeCell ref="A109:C109"/>
    <mergeCell ref="A69:C69"/>
    <mergeCell ref="A100:C100"/>
    <mergeCell ref="A87:I87"/>
    <mergeCell ref="A96:C96"/>
    <mergeCell ref="A79:C79"/>
    <mergeCell ref="A73:I73"/>
    <mergeCell ref="A77:I77"/>
    <mergeCell ref="A74:C74"/>
    <mergeCell ref="A151:I151"/>
    <mergeCell ref="A117:I117"/>
    <mergeCell ref="A134:C134"/>
    <mergeCell ref="A108:C108"/>
    <mergeCell ref="A143:C143"/>
    <mergeCell ref="A149:C149"/>
    <mergeCell ref="A150:C150"/>
    <mergeCell ref="A92:C92"/>
    <mergeCell ref="A76:C76"/>
    <mergeCell ref="A80:C80"/>
    <mergeCell ref="A157:C157"/>
    <mergeCell ref="A24:C24"/>
    <mergeCell ref="A26:C26"/>
    <mergeCell ref="A27:C27"/>
    <mergeCell ref="A28:C28"/>
    <mergeCell ref="A41:C41"/>
    <mergeCell ref="A43:C43"/>
    <mergeCell ref="A44:C44"/>
    <mergeCell ref="A49:C49"/>
    <mergeCell ref="A53:C53"/>
    <mergeCell ref="A54:C54"/>
    <mergeCell ref="A59:C59"/>
    <mergeCell ref="A155:C155"/>
    <mergeCell ref="A154:C154"/>
    <mergeCell ref="A156:C156"/>
    <mergeCell ref="A78:C78"/>
    <mergeCell ref="A97:J97"/>
    <mergeCell ref="A98:J98"/>
    <mergeCell ref="A99:J99"/>
    <mergeCell ref="A86:C86"/>
    <mergeCell ref="A89:C89"/>
    <mergeCell ref="A91:C91"/>
    <mergeCell ref="A72:C72"/>
    <mergeCell ref="A70:C70"/>
    <mergeCell ref="B94:D94"/>
    <mergeCell ref="A75:C75"/>
    <mergeCell ref="A84:C84"/>
    <mergeCell ref="A85:C85"/>
    <mergeCell ref="A121:C121"/>
    <mergeCell ref="A122:C122"/>
    <mergeCell ref="A112:C112"/>
    <mergeCell ref="A114:C114"/>
    <mergeCell ref="A115:C115"/>
    <mergeCell ref="A116:C116"/>
    <mergeCell ref="A101:C101"/>
    <mergeCell ref="A103:C103"/>
    <mergeCell ref="A106:C106"/>
    <mergeCell ref="A111:C1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2" manualBreakCount="2">
    <brk id="11" max="16383" man="1"/>
    <brk id="32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opLeftCell="A113" zoomScale="84" zoomScaleNormal="84" workbookViewId="0">
      <selection activeCell="A118" sqref="A118:J146"/>
    </sheetView>
  </sheetViews>
  <sheetFormatPr defaultColWidth="8.85546875" defaultRowHeight="15" x14ac:dyDescent="0.25"/>
  <cols>
    <col min="1" max="2" width="8.85546875" style="7"/>
    <col min="3" max="3" width="25.5703125" style="7" customWidth="1"/>
    <col min="4" max="4" width="11.7109375" style="18" customWidth="1"/>
    <col min="5" max="5" width="12.140625" style="18" customWidth="1"/>
    <col min="6" max="6" width="12.28515625" style="31" customWidth="1"/>
    <col min="7" max="7" width="11.28515625" style="31" customWidth="1"/>
    <col min="8" max="8" width="12.42578125" style="31" customWidth="1"/>
    <col min="9" max="9" width="15.7109375" style="31" customWidth="1"/>
    <col min="10" max="10" width="10.7109375" style="31" customWidth="1"/>
    <col min="11" max="16384" width="8.85546875" style="7"/>
  </cols>
  <sheetData>
    <row r="1" spans="1:10" ht="37.9" customHeight="1" x14ac:dyDescent="0.25">
      <c r="A1" s="269" t="s">
        <v>0</v>
      </c>
      <c r="B1" s="269"/>
      <c r="C1" s="269"/>
      <c r="D1" s="56" t="s">
        <v>1</v>
      </c>
      <c r="E1" s="56" t="s">
        <v>2</v>
      </c>
      <c r="F1" s="22" t="s">
        <v>3</v>
      </c>
      <c r="G1" s="22" t="s">
        <v>4</v>
      </c>
      <c r="H1" s="22" t="s">
        <v>28</v>
      </c>
      <c r="I1" s="23" t="s">
        <v>75</v>
      </c>
      <c r="J1" s="22" t="s">
        <v>76</v>
      </c>
    </row>
    <row r="2" spans="1:10" x14ac:dyDescent="0.25">
      <c r="A2" s="268" t="s">
        <v>21</v>
      </c>
      <c r="B2" s="268"/>
      <c r="C2" s="268"/>
      <c r="D2" s="268"/>
      <c r="E2" s="268"/>
      <c r="F2" s="268"/>
      <c r="G2" s="268"/>
      <c r="H2" s="268"/>
      <c r="I2" s="268"/>
      <c r="J2" s="268"/>
    </row>
    <row r="3" spans="1:10" ht="13.15" customHeight="1" x14ac:dyDescent="0.25">
      <c r="A3" s="268" t="s">
        <v>6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ht="12" customHeight="1" x14ac:dyDescent="0.25">
      <c r="A4" s="268" t="s">
        <v>9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0" ht="26.45" customHeight="1" x14ac:dyDescent="0.25">
      <c r="A5" s="280" t="s">
        <v>182</v>
      </c>
      <c r="B5" s="280"/>
      <c r="C5" s="280"/>
      <c r="D5" s="24" t="s">
        <v>56</v>
      </c>
      <c r="E5" s="24">
        <v>93.200500000000005</v>
      </c>
      <c r="F5" s="25">
        <v>3.01</v>
      </c>
      <c r="G5" s="25">
        <v>6.79</v>
      </c>
      <c r="H5" s="25">
        <v>23.6</v>
      </c>
      <c r="I5" s="25">
        <f>(F5+H5)*4+G5*9</f>
        <v>167.55</v>
      </c>
      <c r="J5" s="25">
        <v>0</v>
      </c>
    </row>
    <row r="6" spans="1:10" ht="16.149999999999999" customHeight="1" x14ac:dyDescent="0.25">
      <c r="A6" s="252" t="s">
        <v>73</v>
      </c>
      <c r="B6" s="252"/>
      <c r="C6" s="252"/>
      <c r="D6" s="26">
        <v>180</v>
      </c>
      <c r="E6" s="71" t="s">
        <v>173</v>
      </c>
      <c r="F6" s="25">
        <v>3.17</v>
      </c>
      <c r="G6" s="25">
        <v>2.72</v>
      </c>
      <c r="H6" s="25">
        <v>18.46</v>
      </c>
      <c r="I6" s="25">
        <f t="shared" ref="I6" si="0">(F6+H6)*4+G6*9</f>
        <v>111.00000000000001</v>
      </c>
      <c r="J6" s="25">
        <v>0</v>
      </c>
    </row>
    <row r="7" spans="1:10" x14ac:dyDescent="0.25">
      <c r="A7" s="15" t="s">
        <v>109</v>
      </c>
      <c r="B7" s="15"/>
      <c r="C7" s="15"/>
      <c r="D7" s="27" t="s">
        <v>121</v>
      </c>
      <c r="E7" s="24" t="s">
        <v>138</v>
      </c>
      <c r="F7" s="25">
        <v>1.45</v>
      </c>
      <c r="G7" s="25">
        <v>6.78</v>
      </c>
      <c r="H7" s="25">
        <v>0.05</v>
      </c>
      <c r="I7" s="25">
        <f t="shared" ref="I7" si="1">(F7+H7)*4+G7*9</f>
        <v>67.02000000000001</v>
      </c>
      <c r="J7" s="25">
        <v>0.1</v>
      </c>
    </row>
    <row r="8" spans="1:10" x14ac:dyDescent="0.25">
      <c r="A8" s="243" t="s">
        <v>12</v>
      </c>
      <c r="B8" s="244"/>
      <c r="C8" s="245"/>
      <c r="D8" s="24"/>
      <c r="E8" s="24"/>
      <c r="F8" s="22">
        <f>SUM(F5:F7)</f>
        <v>7.63</v>
      </c>
      <c r="G8" s="22">
        <f>SUM(G5:G7)</f>
        <v>16.29</v>
      </c>
      <c r="H8" s="22">
        <f>SUM(H5:H7)</f>
        <v>42.11</v>
      </c>
      <c r="I8" s="22">
        <f>SUM(I5:I7)</f>
        <v>345.57000000000005</v>
      </c>
      <c r="J8" s="25">
        <f>SUM(J5:J7)</f>
        <v>0.1</v>
      </c>
    </row>
    <row r="9" spans="1:10" x14ac:dyDescent="0.25">
      <c r="A9" s="268" t="s">
        <v>8</v>
      </c>
      <c r="B9" s="268"/>
      <c r="C9" s="268"/>
      <c r="D9" s="268"/>
      <c r="E9" s="268"/>
      <c r="F9" s="268"/>
      <c r="G9" s="268"/>
      <c r="H9" s="268"/>
      <c r="I9" s="268"/>
      <c r="J9" s="25"/>
    </row>
    <row r="10" spans="1:10" x14ac:dyDescent="0.25">
      <c r="A10" s="249" t="s">
        <v>54</v>
      </c>
      <c r="B10" s="250"/>
      <c r="C10" s="251"/>
      <c r="D10" s="24">
        <v>30</v>
      </c>
      <c r="E10" s="24" t="s">
        <v>86</v>
      </c>
      <c r="F10" s="25">
        <v>0.34</v>
      </c>
      <c r="G10" s="25">
        <v>1.93</v>
      </c>
      <c r="H10" s="25">
        <v>5.16</v>
      </c>
      <c r="I10" s="25">
        <f>(F10+H10)*4+G10*9</f>
        <v>39.370000000000005</v>
      </c>
      <c r="J10" s="25">
        <v>0</v>
      </c>
    </row>
    <row r="11" spans="1:10" ht="13.15" customHeight="1" x14ac:dyDescent="0.25">
      <c r="A11" s="281" t="s">
        <v>10</v>
      </c>
      <c r="B11" s="282"/>
      <c r="C11" s="283"/>
      <c r="D11" s="24">
        <v>100</v>
      </c>
      <c r="E11" s="24" t="s">
        <v>78</v>
      </c>
      <c r="F11" s="25">
        <v>5.04</v>
      </c>
      <c r="G11" s="25">
        <v>4.5</v>
      </c>
      <c r="H11" s="25">
        <v>8.4600000000000009</v>
      </c>
      <c r="I11" s="25">
        <f>(F11+H11)*4+G11*9</f>
        <v>94.5</v>
      </c>
      <c r="J11" s="25">
        <v>0.8</v>
      </c>
    </row>
    <row r="12" spans="1:10" ht="18" customHeight="1" x14ac:dyDescent="0.25">
      <c r="A12" s="243" t="s">
        <v>12</v>
      </c>
      <c r="B12" s="244"/>
      <c r="C12" s="245"/>
      <c r="D12" s="24"/>
      <c r="E12" s="24"/>
      <c r="F12" s="22">
        <f>SUM(F11:F11)</f>
        <v>5.04</v>
      </c>
      <c r="G12" s="22">
        <f>SUM(G11:G11)</f>
        <v>4.5</v>
      </c>
      <c r="H12" s="22">
        <f>SUM(H11:H11)</f>
        <v>8.4600000000000009</v>
      </c>
      <c r="I12" s="22">
        <f>I10+I11</f>
        <v>133.87</v>
      </c>
      <c r="J12" s="25">
        <f>SUM(J10:J11)</f>
        <v>0.8</v>
      </c>
    </row>
    <row r="13" spans="1:10" ht="13.15" customHeight="1" x14ac:dyDescent="0.25">
      <c r="A13" s="268" t="s">
        <v>11</v>
      </c>
      <c r="B13" s="268"/>
      <c r="C13" s="268"/>
      <c r="D13" s="268"/>
      <c r="E13" s="268"/>
      <c r="F13" s="268"/>
      <c r="G13" s="268"/>
      <c r="H13" s="268"/>
      <c r="I13" s="268"/>
      <c r="J13" s="25"/>
    </row>
    <row r="14" spans="1:10" ht="15" customHeight="1" x14ac:dyDescent="0.25">
      <c r="A14" s="280" t="s">
        <v>160</v>
      </c>
      <c r="B14" s="280"/>
      <c r="C14" s="280"/>
      <c r="D14" s="24">
        <v>60</v>
      </c>
      <c r="E14" s="24">
        <v>78.200400000000002</v>
      </c>
      <c r="F14" s="25">
        <v>1.06</v>
      </c>
      <c r="G14" s="25">
        <v>2.54</v>
      </c>
      <c r="H14" s="25">
        <v>6.15</v>
      </c>
      <c r="I14" s="25">
        <v>51.7</v>
      </c>
      <c r="J14" s="25">
        <v>14.5</v>
      </c>
    </row>
    <row r="15" spans="1:10" ht="26.45" customHeight="1" x14ac:dyDescent="0.25">
      <c r="A15" s="280" t="s">
        <v>167</v>
      </c>
      <c r="B15" s="280"/>
      <c r="C15" s="280"/>
      <c r="D15" s="26" t="s">
        <v>161</v>
      </c>
      <c r="E15" s="24">
        <v>38.201300000000003</v>
      </c>
      <c r="F15" s="25">
        <v>1.7</v>
      </c>
      <c r="G15" s="25">
        <v>1.1599999999999999</v>
      </c>
      <c r="H15" s="25">
        <v>25.63</v>
      </c>
      <c r="I15" s="25">
        <f t="shared" ref="I15:I19" si="2">(F15+H15)*4+G15*9</f>
        <v>119.75999999999999</v>
      </c>
      <c r="J15" s="25">
        <v>1.2</v>
      </c>
    </row>
    <row r="16" spans="1:10" x14ac:dyDescent="0.25">
      <c r="A16" s="246" t="s">
        <v>57</v>
      </c>
      <c r="B16" s="247"/>
      <c r="C16" s="248"/>
      <c r="D16" s="10">
        <v>210</v>
      </c>
      <c r="E16" s="10" t="s">
        <v>98</v>
      </c>
      <c r="F16" s="13">
        <v>10.88</v>
      </c>
      <c r="G16" s="13">
        <v>8.68</v>
      </c>
      <c r="H16" s="13">
        <v>12.11</v>
      </c>
      <c r="I16" s="13">
        <v>170.05</v>
      </c>
      <c r="J16" s="10">
        <v>28.3</v>
      </c>
    </row>
    <row r="17" spans="1:10" x14ac:dyDescent="0.25">
      <c r="A17" s="15" t="s">
        <v>58</v>
      </c>
      <c r="B17" s="15"/>
      <c r="C17" s="15"/>
      <c r="D17" s="24">
        <v>180</v>
      </c>
      <c r="E17" s="24">
        <v>240.20050000000001</v>
      </c>
      <c r="F17" s="25">
        <v>0.14000000000000001</v>
      </c>
      <c r="G17" s="25">
        <v>0.14000000000000001</v>
      </c>
      <c r="H17" s="25">
        <v>15.5</v>
      </c>
      <c r="I17" s="25">
        <f t="shared" si="2"/>
        <v>63.82</v>
      </c>
      <c r="J17" s="25">
        <v>12.3</v>
      </c>
    </row>
    <row r="18" spans="1:10" x14ac:dyDescent="0.25">
      <c r="A18" s="249" t="s">
        <v>23</v>
      </c>
      <c r="B18" s="250"/>
      <c r="C18" s="251"/>
      <c r="D18" s="24">
        <v>45</v>
      </c>
      <c r="E18" s="24" t="s">
        <v>80</v>
      </c>
      <c r="F18" s="25">
        <v>3.69</v>
      </c>
      <c r="G18" s="25">
        <v>3.6</v>
      </c>
      <c r="H18" s="25">
        <v>22.6</v>
      </c>
      <c r="I18" s="25">
        <f t="shared" si="2"/>
        <v>137.56</v>
      </c>
      <c r="J18" s="25">
        <v>0</v>
      </c>
    </row>
    <row r="19" spans="1:10" x14ac:dyDescent="0.25">
      <c r="A19" s="249" t="s">
        <v>13</v>
      </c>
      <c r="B19" s="250"/>
      <c r="C19" s="251"/>
      <c r="D19" s="24">
        <v>25</v>
      </c>
      <c r="E19" s="24" t="s">
        <v>79</v>
      </c>
      <c r="F19" s="25">
        <v>1.64</v>
      </c>
      <c r="G19" s="25">
        <f>0.28/100*45</f>
        <v>0.12600000000000003</v>
      </c>
      <c r="H19" s="25">
        <v>7.22</v>
      </c>
      <c r="I19" s="25">
        <f t="shared" si="2"/>
        <v>36.573999999999998</v>
      </c>
      <c r="J19" s="25">
        <v>0</v>
      </c>
    </row>
    <row r="20" spans="1:10" x14ac:dyDescent="0.25">
      <c r="A20" s="243" t="s">
        <v>12</v>
      </c>
      <c r="B20" s="244"/>
      <c r="C20" s="245"/>
      <c r="D20" s="24"/>
      <c r="E20" s="24"/>
      <c r="F20" s="22">
        <f>SUM(F14:F18)</f>
        <v>17.470000000000002</v>
      </c>
      <c r="G20" s="22">
        <f>SUM(G14:G18)</f>
        <v>16.12</v>
      </c>
      <c r="H20" s="22">
        <f>SUM(H14:H18)</f>
        <v>81.990000000000009</v>
      </c>
      <c r="I20" s="22">
        <f>SUM(I14:I19)</f>
        <v>579.46399999999994</v>
      </c>
      <c r="J20" s="25">
        <f>SUM(J14:J19)</f>
        <v>56.3</v>
      </c>
    </row>
    <row r="21" spans="1:10" ht="15.6" customHeight="1" x14ac:dyDescent="0.25">
      <c r="A21" s="268" t="s">
        <v>37</v>
      </c>
      <c r="B21" s="268"/>
      <c r="C21" s="268"/>
      <c r="D21" s="268"/>
      <c r="E21" s="268"/>
      <c r="F21" s="268"/>
      <c r="G21" s="268"/>
      <c r="H21" s="268"/>
      <c r="I21" s="268"/>
      <c r="J21" s="25"/>
    </row>
    <row r="22" spans="1:10" ht="15.6" customHeight="1" x14ac:dyDescent="0.25">
      <c r="A22" s="249" t="s">
        <v>114</v>
      </c>
      <c r="B22" s="250"/>
      <c r="C22" s="251"/>
      <c r="D22" s="24">
        <v>60</v>
      </c>
      <c r="E22" s="33" t="s">
        <v>166</v>
      </c>
      <c r="F22" s="29">
        <v>0.79</v>
      </c>
      <c r="G22" s="29">
        <v>6.05</v>
      </c>
      <c r="H22" s="29">
        <v>4.66</v>
      </c>
      <c r="I22" s="29">
        <v>76.25</v>
      </c>
      <c r="J22" s="25">
        <v>14.6</v>
      </c>
    </row>
    <row r="23" spans="1:10" x14ac:dyDescent="0.25">
      <c r="A23" s="249" t="s">
        <v>65</v>
      </c>
      <c r="B23" s="250"/>
      <c r="C23" s="251"/>
      <c r="D23" s="24">
        <v>100</v>
      </c>
      <c r="E23" s="24">
        <v>359</v>
      </c>
      <c r="F23" s="25">
        <v>18.059999999999999</v>
      </c>
      <c r="G23" s="25">
        <v>12.74</v>
      </c>
      <c r="H23" s="25">
        <v>4.13</v>
      </c>
      <c r="I23" s="25">
        <f t="shared" ref="I23" si="3">(F23+H23)*4+G23*9</f>
        <v>203.42</v>
      </c>
      <c r="J23" s="25">
        <v>15.6</v>
      </c>
    </row>
    <row r="24" spans="1:10" x14ac:dyDescent="0.25">
      <c r="A24" s="249" t="s">
        <v>16</v>
      </c>
      <c r="B24" s="250"/>
      <c r="C24" s="251"/>
      <c r="D24" s="24">
        <v>130</v>
      </c>
      <c r="E24" s="24">
        <v>206.20050000000001</v>
      </c>
      <c r="F24" s="29">
        <v>2.75</v>
      </c>
      <c r="G24" s="29">
        <v>3.41</v>
      </c>
      <c r="H24" s="29">
        <v>36</v>
      </c>
      <c r="I24" s="29">
        <f t="shared" ref="I24:I26" si="4">(F24+H24)*4+G24*9</f>
        <v>185.69</v>
      </c>
      <c r="J24" s="25">
        <v>12.3</v>
      </c>
    </row>
    <row r="25" spans="1:10" ht="13.9" customHeight="1" x14ac:dyDescent="0.25">
      <c r="A25" s="252" t="s">
        <v>73</v>
      </c>
      <c r="B25" s="252"/>
      <c r="C25" s="252"/>
      <c r="D25" s="26">
        <v>180</v>
      </c>
      <c r="E25" s="71" t="s">
        <v>173</v>
      </c>
      <c r="F25" s="25">
        <v>3.17</v>
      </c>
      <c r="G25" s="25">
        <v>2.72</v>
      </c>
      <c r="H25" s="25">
        <v>18.46</v>
      </c>
      <c r="I25" s="25">
        <f t="shared" si="4"/>
        <v>111.00000000000001</v>
      </c>
      <c r="J25" s="25">
        <v>0.8</v>
      </c>
    </row>
    <row r="26" spans="1:10" x14ac:dyDescent="0.25">
      <c r="A26" s="249" t="s">
        <v>13</v>
      </c>
      <c r="B26" s="250"/>
      <c r="C26" s="251"/>
      <c r="D26" s="24">
        <v>30</v>
      </c>
      <c r="E26" s="24" t="s">
        <v>79</v>
      </c>
      <c r="F26" s="25">
        <v>2.87</v>
      </c>
      <c r="G26" s="25">
        <v>0.49</v>
      </c>
      <c r="H26" s="25">
        <v>12.64</v>
      </c>
      <c r="I26" s="29">
        <f t="shared" si="4"/>
        <v>66.45</v>
      </c>
      <c r="J26" s="25">
        <v>0</v>
      </c>
    </row>
    <row r="27" spans="1:10" x14ac:dyDescent="0.25">
      <c r="A27" s="253" t="s">
        <v>12</v>
      </c>
      <c r="B27" s="254"/>
      <c r="C27" s="255"/>
      <c r="D27" s="56">
        <f>SUM(D22:D26)</f>
        <v>500</v>
      </c>
      <c r="E27" s="56"/>
      <c r="F27" s="22">
        <f>SUM(F23:F26)</f>
        <v>26.849999999999998</v>
      </c>
      <c r="G27" s="22">
        <f>SUM(G23:G26)</f>
        <v>19.359999999999996</v>
      </c>
      <c r="H27" s="22">
        <f>SUM(H23:H26)</f>
        <v>71.23</v>
      </c>
      <c r="I27" s="22">
        <f>SUM(I22:I26)</f>
        <v>642.81000000000006</v>
      </c>
      <c r="J27" s="25">
        <f>SUM(J22:J26)</f>
        <v>43.3</v>
      </c>
    </row>
    <row r="28" spans="1:10" x14ac:dyDescent="0.25">
      <c r="A28" s="243" t="s">
        <v>14</v>
      </c>
      <c r="B28" s="244"/>
      <c r="C28" s="245"/>
      <c r="D28" s="56"/>
      <c r="E28" s="56"/>
      <c r="F28" s="22">
        <f>F8+F12+F20+F27</f>
        <v>56.989999999999995</v>
      </c>
      <c r="G28" s="22">
        <f>G8+G12+G20+G27</f>
        <v>56.269999999999996</v>
      </c>
      <c r="H28" s="22">
        <f>H8+H12+H20+H27</f>
        <v>203.79000000000002</v>
      </c>
      <c r="I28" s="22">
        <f>I27+I20+I12+I8</f>
        <v>1701.7139999999999</v>
      </c>
      <c r="J28" s="25">
        <f>J27+J20+J45+J12+J8</f>
        <v>115.79999999999998</v>
      </c>
    </row>
    <row r="29" spans="1:10" x14ac:dyDescent="0.25">
      <c r="A29" s="16"/>
      <c r="B29" s="16"/>
      <c r="C29" s="16"/>
      <c r="D29" s="57"/>
      <c r="E29" s="57"/>
      <c r="F29" s="30"/>
      <c r="G29" s="30"/>
      <c r="H29" s="30"/>
      <c r="I29" s="30"/>
    </row>
    <row r="31" spans="1:10" x14ac:dyDescent="0.25">
      <c r="A31" s="16"/>
      <c r="B31" s="16"/>
      <c r="C31" s="16"/>
      <c r="D31" s="57"/>
      <c r="E31" s="57"/>
      <c r="F31" s="30"/>
      <c r="G31" s="30"/>
      <c r="H31" s="30"/>
      <c r="I31" s="30"/>
    </row>
    <row r="32" spans="1:10" ht="37.9" customHeight="1" x14ac:dyDescent="0.25">
      <c r="A32" s="269" t="s">
        <v>0</v>
      </c>
      <c r="B32" s="269"/>
      <c r="C32" s="269"/>
      <c r="D32" s="56" t="s">
        <v>1</v>
      </c>
      <c r="E32" s="56" t="s">
        <v>2</v>
      </c>
      <c r="F32" s="22" t="s">
        <v>3</v>
      </c>
      <c r="G32" s="22" t="s">
        <v>4</v>
      </c>
      <c r="H32" s="22" t="s">
        <v>28</v>
      </c>
      <c r="I32" s="23" t="s">
        <v>75</v>
      </c>
      <c r="J32" s="22" t="s">
        <v>76</v>
      </c>
    </row>
    <row r="33" spans="1:17" ht="13.15" customHeight="1" x14ac:dyDescent="0.25">
      <c r="A33" s="269" t="s">
        <v>21</v>
      </c>
      <c r="B33" s="269"/>
      <c r="C33" s="269"/>
      <c r="D33" s="269"/>
      <c r="E33" s="269"/>
      <c r="F33" s="269"/>
      <c r="G33" s="269"/>
      <c r="H33" s="269"/>
      <c r="I33" s="269"/>
      <c r="J33" s="269"/>
    </row>
    <row r="34" spans="1:17" ht="15" customHeight="1" x14ac:dyDescent="0.25">
      <c r="A34" s="269" t="s">
        <v>15</v>
      </c>
      <c r="B34" s="269"/>
      <c r="C34" s="269"/>
      <c r="D34" s="269"/>
      <c r="E34" s="269"/>
      <c r="F34" s="269"/>
      <c r="G34" s="269"/>
      <c r="H34" s="269"/>
      <c r="I34" s="269"/>
      <c r="J34" s="269"/>
      <c r="K34" s="17"/>
    </row>
    <row r="35" spans="1:17" ht="15.6" customHeight="1" x14ac:dyDescent="0.25">
      <c r="A35" s="269" t="s">
        <v>9</v>
      </c>
      <c r="B35" s="269"/>
      <c r="C35" s="269"/>
      <c r="D35" s="269"/>
      <c r="E35" s="269"/>
      <c r="F35" s="269"/>
      <c r="G35" s="269"/>
      <c r="H35" s="269"/>
      <c r="I35" s="269"/>
      <c r="J35" s="269"/>
      <c r="M35" s="17"/>
    </row>
    <row r="36" spans="1:17" ht="27" customHeight="1" x14ac:dyDescent="0.25">
      <c r="A36" s="259" t="s">
        <v>183</v>
      </c>
      <c r="B36" s="259"/>
      <c r="C36" s="259"/>
      <c r="D36" s="32" t="s">
        <v>56</v>
      </c>
      <c r="E36" s="32">
        <v>90.200500000000005</v>
      </c>
      <c r="F36" s="25">
        <v>5.17</v>
      </c>
      <c r="G36" s="25">
        <v>7.1</v>
      </c>
      <c r="H36" s="25">
        <v>32.04</v>
      </c>
      <c r="I36" s="25">
        <f>(F36+H36)*4+G36*9</f>
        <v>212.74</v>
      </c>
      <c r="J36" s="25">
        <v>0</v>
      </c>
    </row>
    <row r="37" spans="1:17" x14ac:dyDescent="0.25">
      <c r="A37" s="249" t="s">
        <v>22</v>
      </c>
      <c r="B37" s="250"/>
      <c r="C37" s="251"/>
      <c r="D37" s="10">
        <v>180</v>
      </c>
      <c r="E37" s="10">
        <v>261.20049999999998</v>
      </c>
      <c r="F37" s="13">
        <v>1.28</v>
      </c>
      <c r="G37" s="13">
        <v>1.08</v>
      </c>
      <c r="H37" s="13">
        <v>13.97</v>
      </c>
      <c r="I37" s="13">
        <f t="shared" ref="I37" si="5">(F37+H37)*4+G37</f>
        <v>62.08</v>
      </c>
      <c r="J37" s="6">
        <v>0.8</v>
      </c>
    </row>
    <row r="38" spans="1:17" x14ac:dyDescent="0.25">
      <c r="A38" s="15" t="s">
        <v>107</v>
      </c>
      <c r="B38" s="15"/>
      <c r="C38" s="15"/>
      <c r="D38" s="27" t="s">
        <v>103</v>
      </c>
      <c r="E38" s="24" t="s">
        <v>140</v>
      </c>
      <c r="F38" s="25">
        <v>2.15</v>
      </c>
      <c r="G38" s="25">
        <v>6.84</v>
      </c>
      <c r="H38" s="25">
        <v>25.7</v>
      </c>
      <c r="I38" s="25">
        <f t="shared" ref="I38" si="6">(F38+H38)*4+G38*9</f>
        <v>172.95999999999998</v>
      </c>
      <c r="J38" s="25">
        <v>0</v>
      </c>
      <c r="K38" s="18"/>
    </row>
    <row r="39" spans="1:17" x14ac:dyDescent="0.25">
      <c r="A39" s="243" t="s">
        <v>12</v>
      </c>
      <c r="B39" s="244"/>
      <c r="C39" s="245"/>
      <c r="D39" s="24"/>
      <c r="E39" s="24"/>
      <c r="F39" s="22">
        <f t="shared" ref="F39:I39" si="7">SUM(F36:F38)</f>
        <v>8.6</v>
      </c>
      <c r="G39" s="22">
        <f t="shared" si="7"/>
        <v>15.02</v>
      </c>
      <c r="H39" s="22">
        <f t="shared" si="7"/>
        <v>71.709999999999994</v>
      </c>
      <c r="I39" s="22">
        <f t="shared" si="7"/>
        <v>447.78</v>
      </c>
      <c r="J39" s="25">
        <f>SUM(J36:J38)</f>
        <v>0.8</v>
      </c>
    </row>
    <row r="40" spans="1:17" x14ac:dyDescent="0.25">
      <c r="A40" s="269" t="s">
        <v>8</v>
      </c>
      <c r="B40" s="269"/>
      <c r="C40" s="269"/>
      <c r="D40" s="269"/>
      <c r="E40" s="269"/>
      <c r="F40" s="269"/>
      <c r="G40" s="269"/>
      <c r="H40" s="269"/>
      <c r="I40" s="269"/>
      <c r="J40" s="25"/>
    </row>
    <row r="41" spans="1:17" x14ac:dyDescent="0.25">
      <c r="A41" s="266" t="s">
        <v>119</v>
      </c>
      <c r="B41" s="266"/>
      <c r="C41" s="266"/>
      <c r="D41" s="14">
        <v>180</v>
      </c>
      <c r="E41" s="10" t="s">
        <v>78</v>
      </c>
      <c r="F41" s="13">
        <v>5.04</v>
      </c>
      <c r="G41" s="13">
        <v>4.5</v>
      </c>
      <c r="H41" s="13">
        <v>8.4600000000000009</v>
      </c>
      <c r="I41" s="13">
        <v>94.5</v>
      </c>
      <c r="J41" s="6">
        <v>0.7</v>
      </c>
    </row>
    <row r="42" spans="1:17" x14ac:dyDescent="0.25">
      <c r="A42" s="243" t="s">
        <v>12</v>
      </c>
      <c r="B42" s="244"/>
      <c r="C42" s="245"/>
      <c r="D42" s="24"/>
      <c r="E42" s="24"/>
      <c r="F42" s="22">
        <f>SUM(F41:F41)</f>
        <v>5.04</v>
      </c>
      <c r="G42" s="22">
        <f>SUM(G41:G41)</f>
        <v>4.5</v>
      </c>
      <c r="H42" s="22">
        <f>SUM(H41:H41)</f>
        <v>8.4600000000000009</v>
      </c>
      <c r="I42" s="22">
        <f>I41</f>
        <v>94.5</v>
      </c>
      <c r="J42" s="25">
        <f>SUM(J41:J41)</f>
        <v>0.7</v>
      </c>
      <c r="N42" s="17"/>
      <c r="O42" s="17"/>
      <c r="P42" s="17"/>
      <c r="Q42" s="17"/>
    </row>
    <row r="43" spans="1:17" x14ac:dyDescent="0.25">
      <c r="A43" s="269" t="s">
        <v>11</v>
      </c>
      <c r="B43" s="269"/>
      <c r="C43" s="269"/>
      <c r="D43" s="269"/>
      <c r="E43" s="269"/>
      <c r="F43" s="269"/>
      <c r="G43" s="269"/>
      <c r="H43" s="269"/>
      <c r="I43" s="269"/>
      <c r="J43" s="25"/>
      <c r="N43" s="17"/>
      <c r="O43" s="267"/>
      <c r="P43" s="267"/>
      <c r="Q43" s="267"/>
    </row>
    <row r="44" spans="1:17" ht="16.899999999999999" hidden="1" customHeight="1" x14ac:dyDescent="0.25">
      <c r="A44" s="280" t="s">
        <v>43</v>
      </c>
      <c r="B44" s="280"/>
      <c r="C44" s="280"/>
      <c r="D44" s="24">
        <v>60</v>
      </c>
      <c r="E44" s="24"/>
      <c r="F44" s="25"/>
      <c r="G44" s="25"/>
      <c r="H44" s="25"/>
      <c r="I44" s="25"/>
      <c r="J44" s="25"/>
      <c r="N44" s="17"/>
      <c r="O44" s="17"/>
      <c r="P44" s="17"/>
      <c r="Q44" s="17"/>
    </row>
    <row r="45" spans="1:17" ht="13.15" customHeight="1" x14ac:dyDescent="0.25">
      <c r="A45" s="280" t="s">
        <v>112</v>
      </c>
      <c r="B45" s="280"/>
      <c r="C45" s="280"/>
      <c r="D45" s="24">
        <v>20</v>
      </c>
      <c r="E45" s="24" t="s">
        <v>141</v>
      </c>
      <c r="F45" s="25">
        <v>0.78</v>
      </c>
      <c r="G45" s="25">
        <v>3.05</v>
      </c>
      <c r="H45" s="25">
        <v>7.73</v>
      </c>
      <c r="I45" s="25">
        <f>(F45+H45)*4+G45*9</f>
        <v>61.489999999999995</v>
      </c>
      <c r="J45" s="25">
        <v>15.3</v>
      </c>
      <c r="K45" s="17"/>
      <c r="N45" s="17"/>
      <c r="O45" s="17"/>
      <c r="P45" s="17"/>
      <c r="Q45" s="17"/>
    </row>
    <row r="46" spans="1:17" x14ac:dyDescent="0.25">
      <c r="A46" s="259" t="s">
        <v>175</v>
      </c>
      <c r="B46" s="259"/>
      <c r="C46" s="259"/>
      <c r="D46" s="26" t="s">
        <v>162</v>
      </c>
      <c r="E46" s="24">
        <v>34.200499999999998</v>
      </c>
      <c r="F46" s="25">
        <v>2.44</v>
      </c>
      <c r="G46" s="25">
        <v>5.7</v>
      </c>
      <c r="H46" s="25">
        <v>17</v>
      </c>
      <c r="I46" s="25">
        <v>129.05000000000001</v>
      </c>
      <c r="J46" s="25">
        <v>25.6</v>
      </c>
    </row>
    <row r="47" spans="1:17" x14ac:dyDescent="0.25">
      <c r="A47" s="246" t="s">
        <v>188</v>
      </c>
      <c r="B47" s="247"/>
      <c r="C47" s="248"/>
      <c r="D47" s="24">
        <v>210</v>
      </c>
      <c r="E47" s="24" t="s">
        <v>189</v>
      </c>
      <c r="F47" s="13">
        <v>17.84</v>
      </c>
      <c r="G47" s="13">
        <v>3.41</v>
      </c>
      <c r="H47" s="13">
        <v>5.32</v>
      </c>
      <c r="I47" s="13">
        <v>165.32</v>
      </c>
      <c r="J47" s="25">
        <v>11.5</v>
      </c>
    </row>
    <row r="48" spans="1:17" x14ac:dyDescent="0.25">
      <c r="A48" s="15" t="s">
        <v>128</v>
      </c>
      <c r="B48" s="15"/>
      <c r="C48" s="15"/>
      <c r="D48" s="24">
        <v>180</v>
      </c>
      <c r="E48" s="24">
        <v>241.20050000000001</v>
      </c>
      <c r="F48" s="25">
        <v>1.06</v>
      </c>
      <c r="G48" s="25">
        <v>2.54</v>
      </c>
      <c r="H48" s="25">
        <v>10.19</v>
      </c>
      <c r="I48" s="25">
        <v>40.74</v>
      </c>
      <c r="J48" s="25">
        <v>0.1</v>
      </c>
    </row>
    <row r="49" spans="1:13" ht="17.45" customHeight="1" x14ac:dyDescent="0.25">
      <c r="A49" s="249" t="s">
        <v>23</v>
      </c>
      <c r="B49" s="250"/>
      <c r="C49" s="251"/>
      <c r="D49" s="24">
        <v>45</v>
      </c>
      <c r="E49" s="24" t="s">
        <v>80</v>
      </c>
      <c r="F49" s="25">
        <v>3.69</v>
      </c>
      <c r="G49" s="25">
        <v>3.6</v>
      </c>
      <c r="H49" s="25">
        <v>22.6</v>
      </c>
      <c r="I49" s="25">
        <f>220.21/100*45</f>
        <v>99.094500000000011</v>
      </c>
      <c r="J49" s="25">
        <v>0</v>
      </c>
    </row>
    <row r="50" spans="1:13" ht="17.45" customHeight="1" x14ac:dyDescent="0.25">
      <c r="A50" s="249" t="s">
        <v>13</v>
      </c>
      <c r="B50" s="250"/>
      <c r="C50" s="251"/>
      <c r="D50" s="24">
        <v>25</v>
      </c>
      <c r="E50" s="24" t="s">
        <v>79</v>
      </c>
      <c r="F50" s="25">
        <v>1.64</v>
      </c>
      <c r="G50" s="25">
        <f>0.28/100*45</f>
        <v>0.12600000000000003</v>
      </c>
      <c r="H50" s="25">
        <v>7.22</v>
      </c>
      <c r="I50" s="25">
        <v>40.799999999999997</v>
      </c>
      <c r="J50" s="25">
        <v>0</v>
      </c>
    </row>
    <row r="51" spans="1:13" ht="17.45" customHeight="1" x14ac:dyDescent="0.25">
      <c r="A51" s="243" t="s">
        <v>12</v>
      </c>
      <c r="B51" s="244"/>
      <c r="C51" s="245"/>
      <c r="D51" s="24"/>
      <c r="E51" s="24"/>
      <c r="F51" s="22">
        <f>SUM(F45:F50)</f>
        <v>27.45</v>
      </c>
      <c r="G51" s="22">
        <f>SUM(G45:G50)</f>
        <v>18.426000000000002</v>
      </c>
      <c r="H51" s="22">
        <f>SUM(H45:H50)</f>
        <v>70.06</v>
      </c>
      <c r="I51" s="22">
        <f>SUM(I45:I50)</f>
        <v>536.49450000000002</v>
      </c>
      <c r="J51" s="25">
        <f>SUM(J45:J50)</f>
        <v>52.500000000000007</v>
      </c>
    </row>
    <row r="52" spans="1:13" ht="15.6" customHeight="1" x14ac:dyDescent="0.25">
      <c r="A52" s="268" t="s">
        <v>37</v>
      </c>
      <c r="B52" s="268"/>
      <c r="C52" s="268"/>
      <c r="D52" s="268"/>
      <c r="E52" s="268"/>
      <c r="F52" s="268"/>
      <c r="G52" s="268"/>
      <c r="H52" s="268"/>
      <c r="I52" s="268"/>
      <c r="J52" s="25"/>
    </row>
    <row r="53" spans="1:13" ht="15" customHeight="1" x14ac:dyDescent="0.25">
      <c r="A53" s="260" t="s">
        <v>113</v>
      </c>
      <c r="B53" s="261"/>
      <c r="C53" s="262"/>
      <c r="D53" s="24">
        <v>150</v>
      </c>
      <c r="E53" s="24" t="s">
        <v>163</v>
      </c>
      <c r="F53" s="25">
        <v>13.81</v>
      </c>
      <c r="G53" s="25">
        <v>12.76</v>
      </c>
      <c r="H53" s="25">
        <v>32.06</v>
      </c>
      <c r="I53" s="25">
        <v>298.37</v>
      </c>
      <c r="J53" s="25">
        <v>0.3</v>
      </c>
    </row>
    <row r="54" spans="1:13" x14ac:dyDescent="0.25">
      <c r="A54" s="263" t="s">
        <v>55</v>
      </c>
      <c r="B54" s="264"/>
      <c r="C54" s="265"/>
      <c r="D54" s="24">
        <v>20</v>
      </c>
      <c r="E54" s="24" t="s">
        <v>139</v>
      </c>
      <c r="F54" s="25">
        <v>1.27</v>
      </c>
      <c r="G54" s="25">
        <v>2.2400000000000002</v>
      </c>
      <c r="H54" s="25">
        <v>2.13</v>
      </c>
      <c r="I54" s="25">
        <v>33.75</v>
      </c>
      <c r="J54" s="25">
        <v>0.1</v>
      </c>
    </row>
    <row r="55" spans="1:13" x14ac:dyDescent="0.25">
      <c r="A55" s="277" t="s">
        <v>13</v>
      </c>
      <c r="B55" s="278"/>
      <c r="C55" s="279"/>
      <c r="D55" s="24">
        <v>30</v>
      </c>
      <c r="E55" s="24">
        <v>256.20049999999998</v>
      </c>
      <c r="F55" s="25">
        <v>0.28999999999999998</v>
      </c>
      <c r="G55" s="25">
        <v>0.4</v>
      </c>
      <c r="H55" s="25">
        <v>15.99</v>
      </c>
      <c r="I55" s="25">
        <v>65.12</v>
      </c>
      <c r="J55" s="25">
        <v>0.7</v>
      </c>
    </row>
    <row r="56" spans="1:13" x14ac:dyDescent="0.25">
      <c r="A56" s="249" t="s">
        <v>151</v>
      </c>
      <c r="B56" s="250"/>
      <c r="C56" s="251"/>
      <c r="D56" s="24">
        <v>180</v>
      </c>
      <c r="E56" s="24" t="s">
        <v>152</v>
      </c>
      <c r="F56" s="13">
        <f>4.2*1.2</f>
        <v>5.04</v>
      </c>
      <c r="G56" s="13">
        <f>5.25*1.2</f>
        <v>6.3</v>
      </c>
      <c r="H56" s="13">
        <f>18.03*1.2</f>
        <v>21.635999999999999</v>
      </c>
      <c r="I56" s="13">
        <f>133.19*1.2</f>
        <v>159.828</v>
      </c>
      <c r="J56" s="14">
        <v>0</v>
      </c>
    </row>
    <row r="57" spans="1:13" x14ac:dyDescent="0.25">
      <c r="A57" s="249" t="s">
        <v>111</v>
      </c>
      <c r="B57" s="250"/>
      <c r="C57" s="251"/>
      <c r="D57" s="24">
        <v>200</v>
      </c>
      <c r="E57" s="24" t="s">
        <v>82</v>
      </c>
      <c r="F57" s="29">
        <v>0.6</v>
      </c>
      <c r="G57" s="29">
        <v>0.6</v>
      </c>
      <c r="H57" s="29">
        <v>14.7</v>
      </c>
      <c r="I57" s="29">
        <v>66.599999999999994</v>
      </c>
      <c r="J57" s="25">
        <v>16</v>
      </c>
    </row>
    <row r="58" spans="1:13" x14ac:dyDescent="0.25">
      <c r="A58" s="243" t="s">
        <v>12</v>
      </c>
      <c r="B58" s="244"/>
      <c r="C58" s="245"/>
      <c r="D58" s="56">
        <f>SUM(D53:D57)</f>
        <v>580</v>
      </c>
      <c r="E58" s="56"/>
      <c r="F58" s="22">
        <f>SUM(F53:F57)</f>
        <v>21.01</v>
      </c>
      <c r="G58" s="22">
        <f>SUM(G53:G57)</f>
        <v>22.3</v>
      </c>
      <c r="H58" s="22">
        <f>SUM(H53:H57)</f>
        <v>86.516000000000005</v>
      </c>
      <c r="I58" s="22">
        <f>SUM(I53:I57)</f>
        <v>623.66800000000001</v>
      </c>
      <c r="J58" s="25">
        <f>SUM(J53:J57)</f>
        <v>17.100000000000001</v>
      </c>
    </row>
    <row r="59" spans="1:13" x14ac:dyDescent="0.25">
      <c r="A59" s="243" t="s">
        <v>14</v>
      </c>
      <c r="B59" s="244"/>
      <c r="C59" s="245"/>
      <c r="D59" s="56"/>
      <c r="E59" s="56"/>
      <c r="F59" s="22">
        <f>F39+F42+F51+F58</f>
        <v>62.100000000000009</v>
      </c>
      <c r="G59" s="22">
        <f>G39+G42+G51+G58</f>
        <v>60.245999999999995</v>
      </c>
      <c r="H59" s="22">
        <f>H39+H42+H51+H58</f>
        <v>236.74599999999998</v>
      </c>
      <c r="I59" s="22">
        <f>I39+I42+I51+I58</f>
        <v>1702.4425000000001</v>
      </c>
      <c r="J59" s="25">
        <f>J58+J51+J42+J39</f>
        <v>71.100000000000009</v>
      </c>
      <c r="M59" s="17"/>
    </row>
    <row r="60" spans="1:13" x14ac:dyDescent="0.25">
      <c r="A60" s="19"/>
      <c r="B60" s="19"/>
      <c r="C60" s="19"/>
      <c r="D60" s="35"/>
      <c r="E60" s="35"/>
      <c r="F60" s="36"/>
      <c r="G60" s="36"/>
      <c r="H60" s="36"/>
      <c r="I60" s="36"/>
    </row>
    <row r="61" spans="1:13" ht="43.5" x14ac:dyDescent="0.25">
      <c r="A61" s="269" t="s">
        <v>0</v>
      </c>
      <c r="B61" s="269"/>
      <c r="C61" s="269"/>
      <c r="D61" s="56" t="s">
        <v>1</v>
      </c>
      <c r="E61" s="56" t="s">
        <v>2</v>
      </c>
      <c r="F61" s="22" t="s">
        <v>3</v>
      </c>
      <c r="G61" s="22" t="s">
        <v>4</v>
      </c>
      <c r="H61" s="22" t="s">
        <v>28</v>
      </c>
      <c r="I61" s="23" t="s">
        <v>75</v>
      </c>
      <c r="J61" s="22" t="s">
        <v>76</v>
      </c>
      <c r="K61" s="20"/>
    </row>
    <row r="62" spans="1:13" x14ac:dyDescent="0.25">
      <c r="A62" s="269" t="s">
        <v>21</v>
      </c>
      <c r="B62" s="269"/>
      <c r="C62" s="269"/>
      <c r="D62" s="269"/>
      <c r="E62" s="269"/>
      <c r="F62" s="269"/>
      <c r="G62" s="269"/>
      <c r="H62" s="269"/>
      <c r="I62" s="269"/>
      <c r="J62" s="269"/>
    </row>
    <row r="63" spans="1:13" ht="20.45" customHeight="1" x14ac:dyDescent="0.25">
      <c r="A63" s="269" t="s">
        <v>17</v>
      </c>
      <c r="B63" s="269"/>
      <c r="C63" s="269"/>
      <c r="D63" s="269"/>
      <c r="E63" s="269"/>
      <c r="F63" s="269"/>
      <c r="G63" s="269"/>
      <c r="H63" s="269"/>
      <c r="I63" s="269"/>
      <c r="J63" s="269"/>
    </row>
    <row r="64" spans="1:13" ht="15.75" customHeight="1" x14ac:dyDescent="0.25">
      <c r="A64" s="269" t="s">
        <v>9</v>
      </c>
      <c r="B64" s="269"/>
      <c r="C64" s="269"/>
      <c r="D64" s="269"/>
      <c r="E64" s="269"/>
      <c r="F64" s="269"/>
      <c r="G64" s="269"/>
      <c r="H64" s="269"/>
      <c r="I64" s="269"/>
      <c r="J64" s="269"/>
    </row>
    <row r="65" spans="1:17" ht="28.9" customHeight="1" x14ac:dyDescent="0.25">
      <c r="A65" s="270" t="s">
        <v>184</v>
      </c>
      <c r="B65" s="270"/>
      <c r="C65" s="270"/>
      <c r="D65" s="24" t="s">
        <v>56</v>
      </c>
      <c r="E65" s="24">
        <v>96.200500000000005</v>
      </c>
      <c r="F65" s="25">
        <v>6.87</v>
      </c>
      <c r="G65" s="25">
        <v>7.8</v>
      </c>
      <c r="H65" s="25">
        <v>33.04</v>
      </c>
      <c r="I65" s="25">
        <v>229.86</v>
      </c>
      <c r="J65" s="25">
        <v>0</v>
      </c>
    </row>
    <row r="66" spans="1:17" x14ac:dyDescent="0.25">
      <c r="A66" s="249" t="s">
        <v>7</v>
      </c>
      <c r="B66" s="250"/>
      <c r="C66" s="251"/>
      <c r="D66" s="33">
        <v>180</v>
      </c>
      <c r="E66" s="71" t="s">
        <v>173</v>
      </c>
      <c r="F66" s="25">
        <v>0.1</v>
      </c>
      <c r="G66" s="25">
        <v>0.03</v>
      </c>
      <c r="H66" s="25">
        <v>12.8</v>
      </c>
      <c r="I66" s="25">
        <v>51.5</v>
      </c>
      <c r="J66" s="25">
        <v>0</v>
      </c>
    </row>
    <row r="67" spans="1:17" x14ac:dyDescent="0.25">
      <c r="A67" s="280" t="s">
        <v>129</v>
      </c>
      <c r="B67" s="280"/>
      <c r="C67" s="280"/>
      <c r="D67" s="27" t="s">
        <v>126</v>
      </c>
      <c r="E67" s="24" t="s">
        <v>51</v>
      </c>
      <c r="F67" s="25">
        <v>2.87</v>
      </c>
      <c r="G67" s="25">
        <v>8.61</v>
      </c>
      <c r="H67" s="25">
        <v>0.05</v>
      </c>
      <c r="I67" s="25">
        <v>89.18</v>
      </c>
      <c r="J67" s="25">
        <v>0</v>
      </c>
    </row>
    <row r="68" spans="1:17" x14ac:dyDescent="0.25">
      <c r="A68" s="243" t="s">
        <v>12</v>
      </c>
      <c r="B68" s="244"/>
      <c r="C68" s="245"/>
      <c r="D68" s="24"/>
      <c r="E68" s="24"/>
      <c r="F68" s="22">
        <f>SUM(F65:F67)</f>
        <v>9.84</v>
      </c>
      <c r="G68" s="22">
        <f>SUM(G65:G67)</f>
        <v>16.439999999999998</v>
      </c>
      <c r="H68" s="22">
        <f>SUM(H65:H67)</f>
        <v>45.89</v>
      </c>
      <c r="I68" s="22">
        <f>SUM(I65:I67)</f>
        <v>370.54</v>
      </c>
      <c r="J68" s="25">
        <f>SUM(J65:J67)</f>
        <v>0</v>
      </c>
      <c r="K68" s="37"/>
      <c r="L68" s="37"/>
      <c r="M68" s="37"/>
    </row>
    <row r="69" spans="1:17" x14ac:dyDescent="0.25">
      <c r="A69" s="269" t="s">
        <v>8</v>
      </c>
      <c r="B69" s="269"/>
      <c r="C69" s="269"/>
      <c r="D69" s="269"/>
      <c r="E69" s="269"/>
      <c r="F69" s="269"/>
      <c r="G69" s="269"/>
      <c r="H69" s="269"/>
      <c r="I69" s="269"/>
      <c r="J69" s="25"/>
    </row>
    <row r="70" spans="1:17" x14ac:dyDescent="0.25">
      <c r="A70" s="284" t="s">
        <v>111</v>
      </c>
      <c r="B70" s="284"/>
      <c r="C70" s="284"/>
      <c r="D70" s="33">
        <v>160</v>
      </c>
      <c r="E70" s="24" t="s">
        <v>47</v>
      </c>
      <c r="F70" s="25">
        <v>6.87</v>
      </c>
      <c r="G70" s="25">
        <v>7.8</v>
      </c>
      <c r="H70" s="25">
        <v>33.04</v>
      </c>
      <c r="I70" s="25">
        <v>229.86</v>
      </c>
      <c r="J70" s="25">
        <v>4</v>
      </c>
    </row>
    <row r="71" spans="1:17" ht="15.75" hidden="1" customHeight="1" x14ac:dyDescent="0.25">
      <c r="A71" s="243" t="s">
        <v>12</v>
      </c>
      <c r="B71" s="244"/>
      <c r="C71" s="245"/>
      <c r="D71" s="24"/>
      <c r="E71" s="24"/>
      <c r="F71" s="22">
        <f>SUM(F70:F70)</f>
        <v>6.87</v>
      </c>
      <c r="G71" s="22">
        <f>SUM(G70:G70)</f>
        <v>7.8</v>
      </c>
      <c r="H71" s="22">
        <f>SUM(H70:H70)</f>
        <v>33.04</v>
      </c>
      <c r="I71" s="22">
        <f>SUM(I70:I70)</f>
        <v>229.86</v>
      </c>
      <c r="J71" s="25">
        <v>4</v>
      </c>
    </row>
    <row r="72" spans="1:17" ht="18.600000000000001" customHeight="1" thickBot="1" x14ac:dyDescent="0.3">
      <c r="A72" s="268" t="s">
        <v>11</v>
      </c>
      <c r="B72" s="268"/>
      <c r="C72" s="268"/>
      <c r="D72" s="268"/>
      <c r="E72" s="268"/>
      <c r="F72" s="268"/>
      <c r="G72" s="268"/>
      <c r="H72" s="268"/>
      <c r="I72" s="268"/>
      <c r="J72" s="25"/>
      <c r="K72" s="7" t="s">
        <v>49</v>
      </c>
    </row>
    <row r="73" spans="1:17" ht="13.15" customHeight="1" thickBot="1" x14ac:dyDescent="0.3">
      <c r="A73" s="289" t="s">
        <v>59</v>
      </c>
      <c r="B73" s="289"/>
      <c r="C73" s="289"/>
      <c r="D73" s="8">
        <v>60</v>
      </c>
      <c r="E73" s="8" t="s">
        <v>99</v>
      </c>
      <c r="F73" s="9">
        <v>0.67</v>
      </c>
      <c r="G73" s="9">
        <v>6.07</v>
      </c>
      <c r="H73" s="9">
        <v>4.29</v>
      </c>
      <c r="I73" s="9">
        <v>74.45</v>
      </c>
      <c r="J73" s="14">
        <v>0</v>
      </c>
      <c r="Q73" s="38">
        <v>186</v>
      </c>
    </row>
    <row r="74" spans="1:17" ht="15.6" customHeight="1" x14ac:dyDescent="0.25">
      <c r="A74" s="259" t="s">
        <v>168</v>
      </c>
      <c r="B74" s="259"/>
      <c r="C74" s="259"/>
      <c r="D74" s="24" t="s">
        <v>162</v>
      </c>
      <c r="E74" s="24">
        <v>56.200499999999998</v>
      </c>
      <c r="F74" s="25">
        <v>3.54</v>
      </c>
      <c r="G74" s="25">
        <v>3.89</v>
      </c>
      <c r="H74" s="25">
        <v>9.02</v>
      </c>
      <c r="I74" s="25">
        <v>85.2</v>
      </c>
      <c r="J74" s="25">
        <v>18.899999999999999</v>
      </c>
    </row>
    <row r="75" spans="1:17" x14ac:dyDescent="0.25">
      <c r="A75" s="274" t="s">
        <v>115</v>
      </c>
      <c r="B75" s="275"/>
      <c r="C75" s="276"/>
      <c r="D75" s="33">
        <v>70</v>
      </c>
      <c r="E75" s="24" t="s">
        <v>142</v>
      </c>
      <c r="F75" s="25">
        <v>18.059999999999999</v>
      </c>
      <c r="G75" s="25">
        <v>12.74</v>
      </c>
      <c r="H75" s="25">
        <v>4.13</v>
      </c>
      <c r="I75" s="25">
        <v>203.47</v>
      </c>
      <c r="J75" s="25">
        <v>11.2</v>
      </c>
    </row>
    <row r="76" spans="1:17" x14ac:dyDescent="0.25">
      <c r="A76" s="15" t="s">
        <v>25</v>
      </c>
      <c r="B76" s="15"/>
      <c r="C76" s="15"/>
      <c r="D76" s="10">
        <v>150</v>
      </c>
      <c r="E76" s="10">
        <v>194.20050000000001</v>
      </c>
      <c r="F76" s="13">
        <v>5.33</v>
      </c>
      <c r="G76" s="13">
        <v>4.6900000000000004</v>
      </c>
      <c r="H76" s="13">
        <v>35.590000000000003</v>
      </c>
      <c r="I76" s="13">
        <f t="shared" ref="I76" si="8">(F76+H76)*4+G76*9</f>
        <v>205.89000000000001</v>
      </c>
      <c r="J76" s="14">
        <v>0</v>
      </c>
    </row>
    <row r="77" spans="1:17" x14ac:dyDescent="0.25">
      <c r="A77" s="15" t="s">
        <v>128</v>
      </c>
      <c r="B77" s="15"/>
      <c r="C77" s="15"/>
      <c r="D77" s="24">
        <v>180</v>
      </c>
      <c r="E77" s="24">
        <v>241.20050000000001</v>
      </c>
      <c r="F77" s="25">
        <v>1.06</v>
      </c>
      <c r="G77" s="25">
        <v>2.54</v>
      </c>
      <c r="H77" s="25">
        <v>10.19</v>
      </c>
      <c r="I77" s="25">
        <v>40.74</v>
      </c>
      <c r="J77" s="25">
        <v>0.1</v>
      </c>
    </row>
    <row r="78" spans="1:17" ht="12.6" customHeight="1" x14ac:dyDescent="0.25">
      <c r="A78" s="249" t="s">
        <v>23</v>
      </c>
      <c r="B78" s="250"/>
      <c r="C78" s="251"/>
      <c r="D78" s="24">
        <v>45</v>
      </c>
      <c r="E78" s="24" t="s">
        <v>80</v>
      </c>
      <c r="F78" s="25">
        <v>3.69</v>
      </c>
      <c r="G78" s="25">
        <v>3.6</v>
      </c>
      <c r="H78" s="25">
        <v>22.6</v>
      </c>
      <c r="I78" s="25">
        <f>220.21/100*45</f>
        <v>99.094500000000011</v>
      </c>
      <c r="J78" s="25">
        <v>0</v>
      </c>
    </row>
    <row r="79" spans="1:17" x14ac:dyDescent="0.25">
      <c r="A79" s="249" t="s">
        <v>13</v>
      </c>
      <c r="B79" s="250"/>
      <c r="C79" s="251"/>
      <c r="D79" s="24">
        <v>20</v>
      </c>
      <c r="E79" s="24" t="s">
        <v>79</v>
      </c>
      <c r="F79" s="25">
        <v>1.64</v>
      </c>
      <c r="G79" s="25">
        <f>0.28/100*45</f>
        <v>0.12600000000000003</v>
      </c>
      <c r="H79" s="25">
        <v>7.22</v>
      </c>
      <c r="I79" s="25">
        <v>40.799999999999997</v>
      </c>
      <c r="J79" s="25">
        <v>0</v>
      </c>
    </row>
    <row r="80" spans="1:17" ht="17.45" customHeight="1" x14ac:dyDescent="0.25">
      <c r="A80" s="237" t="s">
        <v>12</v>
      </c>
      <c r="B80" s="238"/>
      <c r="C80" s="239"/>
      <c r="D80" s="29"/>
      <c r="E80" s="29"/>
      <c r="F80" s="28">
        <f>SUM(F73:F79)</f>
        <v>33.99</v>
      </c>
      <c r="G80" s="28">
        <f>SUM(G73:G79)</f>
        <v>33.655999999999999</v>
      </c>
      <c r="H80" s="28">
        <f>SUM(H73:H79)</f>
        <v>93.039999999999992</v>
      </c>
      <c r="I80" s="28">
        <f>SUM(I73:I79)</f>
        <v>749.64449999999999</v>
      </c>
      <c r="J80" s="25">
        <f>SUM(J73:J79)</f>
        <v>30.2</v>
      </c>
    </row>
    <row r="81" spans="1:13" ht="17.45" customHeight="1" x14ac:dyDescent="0.25">
      <c r="A81" s="268" t="s">
        <v>37</v>
      </c>
      <c r="B81" s="268"/>
      <c r="C81" s="268"/>
      <c r="D81" s="268"/>
      <c r="E81" s="268"/>
      <c r="F81" s="268"/>
      <c r="G81" s="268"/>
      <c r="H81" s="268"/>
      <c r="I81" s="268"/>
      <c r="J81" s="25"/>
    </row>
    <row r="82" spans="1:13" x14ac:dyDescent="0.25">
      <c r="A82" s="259" t="s">
        <v>52</v>
      </c>
      <c r="B82" s="259"/>
      <c r="C82" s="259"/>
      <c r="D82" s="24">
        <v>20</v>
      </c>
      <c r="E82" s="24"/>
      <c r="F82" s="25">
        <v>13.81</v>
      </c>
      <c r="G82" s="25">
        <v>12.76</v>
      </c>
      <c r="H82" s="25">
        <v>32.06</v>
      </c>
      <c r="I82" s="25">
        <v>298.37</v>
      </c>
      <c r="J82" s="25">
        <v>26.3</v>
      </c>
    </row>
    <row r="83" spans="1:13" x14ac:dyDescent="0.25">
      <c r="A83" s="249" t="s">
        <v>172</v>
      </c>
      <c r="B83" s="250"/>
      <c r="C83" s="251"/>
      <c r="D83" s="33">
        <v>180</v>
      </c>
      <c r="E83" s="24">
        <v>519.20039999999995</v>
      </c>
      <c r="F83" s="25">
        <v>0.1</v>
      </c>
      <c r="G83" s="25">
        <v>0.03</v>
      </c>
      <c r="H83" s="25">
        <v>12.8</v>
      </c>
      <c r="I83" s="25">
        <v>51.5</v>
      </c>
      <c r="J83" s="25">
        <v>0</v>
      </c>
    </row>
    <row r="84" spans="1:13" x14ac:dyDescent="0.25">
      <c r="A84" s="277" t="s">
        <v>116</v>
      </c>
      <c r="B84" s="278"/>
      <c r="C84" s="279"/>
      <c r="D84" s="33">
        <v>100</v>
      </c>
      <c r="E84" s="34">
        <v>778.20039999999995</v>
      </c>
      <c r="F84" s="25">
        <v>1.64</v>
      </c>
      <c r="G84" s="25">
        <f>0.28/100*45</f>
        <v>0.12600000000000003</v>
      </c>
      <c r="H84" s="25">
        <v>7.22</v>
      </c>
      <c r="I84" s="25">
        <v>37.96</v>
      </c>
      <c r="J84" s="25">
        <v>0</v>
      </c>
    </row>
    <row r="85" spans="1:13" x14ac:dyDescent="0.25">
      <c r="A85" s="249" t="s">
        <v>24</v>
      </c>
      <c r="B85" s="250"/>
      <c r="C85" s="251"/>
      <c r="D85" s="24">
        <v>200</v>
      </c>
      <c r="E85" s="24" t="s">
        <v>82</v>
      </c>
      <c r="F85" s="29">
        <v>0.6</v>
      </c>
      <c r="G85" s="29">
        <v>0.6</v>
      </c>
      <c r="H85" s="29">
        <v>14.7</v>
      </c>
      <c r="I85" s="29">
        <v>66.599999999999994</v>
      </c>
      <c r="J85" s="25">
        <v>16</v>
      </c>
    </row>
    <row r="86" spans="1:13" x14ac:dyDescent="0.25">
      <c r="A86" s="249" t="s">
        <v>13</v>
      </c>
      <c r="B86" s="250"/>
      <c r="C86" s="251"/>
      <c r="D86" s="24">
        <v>20</v>
      </c>
      <c r="E86" s="24" t="s">
        <v>79</v>
      </c>
      <c r="F86" s="25">
        <v>1.64</v>
      </c>
      <c r="G86" s="25">
        <f>0.28/100*45</f>
        <v>0.12600000000000003</v>
      </c>
      <c r="H86" s="25">
        <v>7.22</v>
      </c>
      <c r="I86" s="25">
        <v>40.799999999999997</v>
      </c>
      <c r="J86" s="25">
        <v>0</v>
      </c>
    </row>
    <row r="87" spans="1:13" x14ac:dyDescent="0.25">
      <c r="A87" s="243" t="s">
        <v>14</v>
      </c>
      <c r="B87" s="244"/>
      <c r="C87" s="245"/>
      <c r="D87" s="56">
        <f>SUM(D82:D86)</f>
        <v>520</v>
      </c>
      <c r="E87" s="56"/>
      <c r="F87" s="22">
        <f>F68+F71+F80+F86</f>
        <v>52.34</v>
      </c>
      <c r="G87" s="22">
        <f>G68+G71+G80+G86</f>
        <v>58.021999999999998</v>
      </c>
      <c r="H87" s="22">
        <f>H68+H71+H80+H86</f>
        <v>179.19</v>
      </c>
      <c r="I87" s="22">
        <f>I68+I71+I80+I86</f>
        <v>1390.8444999999999</v>
      </c>
      <c r="J87" s="25">
        <f>J86+J80+J73+J71+J68</f>
        <v>34.200000000000003</v>
      </c>
    </row>
    <row r="88" spans="1:13" x14ac:dyDescent="0.25">
      <c r="A88" s="16"/>
      <c r="B88" s="16"/>
      <c r="C88" s="16"/>
      <c r="D88" s="57"/>
      <c r="E88" s="57"/>
      <c r="F88" s="30"/>
      <c r="G88" s="30"/>
      <c r="H88" s="30"/>
      <c r="I88" s="30"/>
    </row>
    <row r="89" spans="1:13" ht="18" customHeight="1" x14ac:dyDescent="0.25">
      <c r="A89" s="16"/>
      <c r="B89" s="16"/>
      <c r="C89" s="16"/>
      <c r="D89" s="57"/>
      <c r="E89" s="57"/>
      <c r="F89" s="30"/>
      <c r="G89" s="30"/>
      <c r="H89" s="30"/>
      <c r="I89" s="30"/>
    </row>
    <row r="90" spans="1:13" ht="13.15" customHeight="1" x14ac:dyDescent="0.25">
      <c r="A90" s="269" t="s">
        <v>0</v>
      </c>
      <c r="B90" s="269"/>
      <c r="C90" s="269"/>
      <c r="D90" s="56" t="s">
        <v>1</v>
      </c>
      <c r="E90" s="56" t="s">
        <v>2</v>
      </c>
      <c r="F90" s="22" t="s">
        <v>3</v>
      </c>
      <c r="G90" s="22" t="s">
        <v>4</v>
      </c>
      <c r="H90" s="22" t="s">
        <v>28</v>
      </c>
      <c r="I90" s="23" t="s">
        <v>75</v>
      </c>
      <c r="J90" s="22" t="s">
        <v>76</v>
      </c>
    </row>
    <row r="91" spans="1:13" ht="15" customHeight="1" x14ac:dyDescent="0.25">
      <c r="A91" s="268" t="s">
        <v>21</v>
      </c>
      <c r="B91" s="268"/>
      <c r="C91" s="268"/>
      <c r="D91" s="268"/>
      <c r="E91" s="268"/>
      <c r="F91" s="268"/>
      <c r="G91" s="268"/>
      <c r="H91" s="268"/>
      <c r="I91" s="268"/>
      <c r="J91" s="268"/>
    </row>
    <row r="92" spans="1:13" ht="18" customHeight="1" x14ac:dyDescent="0.25">
      <c r="A92" s="268" t="s">
        <v>18</v>
      </c>
      <c r="B92" s="268"/>
      <c r="C92" s="268"/>
      <c r="D92" s="268"/>
      <c r="E92" s="268"/>
      <c r="F92" s="268"/>
      <c r="G92" s="268"/>
      <c r="H92" s="268"/>
      <c r="I92" s="268"/>
      <c r="J92" s="268"/>
    </row>
    <row r="93" spans="1:13" x14ac:dyDescent="0.25">
      <c r="A93" s="290" t="s">
        <v>9</v>
      </c>
      <c r="B93" s="290"/>
      <c r="C93" s="290"/>
      <c r="D93" s="290"/>
      <c r="E93" s="290"/>
      <c r="F93" s="290"/>
      <c r="G93" s="290"/>
      <c r="H93" s="290"/>
      <c r="I93" s="290"/>
      <c r="J93" s="290"/>
    </row>
    <row r="94" spans="1:13" ht="25.9" customHeight="1" x14ac:dyDescent="0.25">
      <c r="A94" s="270" t="s">
        <v>185</v>
      </c>
      <c r="B94" s="270"/>
      <c r="C94" s="270"/>
      <c r="D94" s="24" t="s">
        <v>56</v>
      </c>
      <c r="E94" s="24">
        <v>99.200500000000005</v>
      </c>
      <c r="F94" s="25">
        <v>6.19</v>
      </c>
      <c r="G94" s="25">
        <v>7.09</v>
      </c>
      <c r="H94" s="25">
        <v>31</v>
      </c>
      <c r="I94" s="25">
        <v>212.51</v>
      </c>
      <c r="J94" s="25">
        <v>0</v>
      </c>
    </row>
    <row r="95" spans="1:13" ht="13.9" customHeight="1" thickBot="1" x14ac:dyDescent="0.3">
      <c r="A95" s="271" t="s">
        <v>153</v>
      </c>
      <c r="B95" s="272"/>
      <c r="C95" s="273"/>
      <c r="D95" s="65">
        <v>180</v>
      </c>
      <c r="E95" s="58" t="s">
        <v>154</v>
      </c>
      <c r="F95" s="13">
        <v>4.8499999999999996</v>
      </c>
      <c r="G95" s="13">
        <v>5.04</v>
      </c>
      <c r="H95" s="13">
        <v>32.729999999999997</v>
      </c>
      <c r="I95" s="11">
        <v>195.71</v>
      </c>
      <c r="J95" s="58">
        <v>0.8</v>
      </c>
    </row>
    <row r="96" spans="1:13" ht="15" customHeight="1" thickBot="1" x14ac:dyDescent="0.3">
      <c r="A96" s="280" t="s">
        <v>117</v>
      </c>
      <c r="B96" s="280"/>
      <c r="C96" s="280"/>
      <c r="D96" s="27" t="s">
        <v>103</v>
      </c>
      <c r="E96" s="24" t="s">
        <v>143</v>
      </c>
      <c r="F96" s="25">
        <v>0.04</v>
      </c>
      <c r="G96" s="25">
        <v>5.78</v>
      </c>
      <c r="H96" s="25">
        <v>0.06</v>
      </c>
      <c r="I96" s="25">
        <v>212.51</v>
      </c>
      <c r="J96" s="25">
        <v>0</v>
      </c>
      <c r="L96" s="40" t="s">
        <v>40</v>
      </c>
      <c r="M96" s="41"/>
    </row>
    <row r="97" spans="1:17" x14ac:dyDescent="0.25">
      <c r="A97" s="243" t="s">
        <v>12</v>
      </c>
      <c r="B97" s="244"/>
      <c r="C97" s="245"/>
      <c r="D97" s="24"/>
      <c r="E97" s="24"/>
      <c r="F97" s="22">
        <f>SUM(F94:F96)</f>
        <v>11.079999999999998</v>
      </c>
      <c r="G97" s="22">
        <f>SUM(G94:G96)</f>
        <v>17.91</v>
      </c>
      <c r="H97" s="22">
        <f>SUM(H94:H96)</f>
        <v>63.79</v>
      </c>
      <c r="I97" s="22">
        <f>SUM(I94:I96)</f>
        <v>620.73</v>
      </c>
      <c r="J97" s="25">
        <f>SUM(J94:J96)</f>
        <v>0.8</v>
      </c>
    </row>
    <row r="98" spans="1:17" ht="13.15" customHeight="1" x14ac:dyDescent="0.25">
      <c r="A98" s="269" t="s">
        <v>8</v>
      </c>
      <c r="B98" s="269"/>
      <c r="C98" s="269"/>
      <c r="D98" s="269"/>
      <c r="E98" s="269"/>
      <c r="F98" s="269"/>
      <c r="G98" s="269"/>
      <c r="H98" s="269"/>
      <c r="I98" s="269"/>
      <c r="J98" s="25"/>
    </row>
    <row r="99" spans="1:17" ht="16.899999999999999" customHeight="1" thickBot="1" x14ac:dyDescent="0.3">
      <c r="A99" s="64" t="s">
        <v>38</v>
      </c>
      <c r="B99" s="64"/>
      <c r="C99" s="64"/>
      <c r="D99" s="24">
        <v>30</v>
      </c>
      <c r="E99" s="24" t="s">
        <v>86</v>
      </c>
      <c r="F99" s="25">
        <v>0.34</v>
      </c>
      <c r="G99" s="25">
        <v>1.93</v>
      </c>
      <c r="H99" s="25">
        <v>5.16</v>
      </c>
      <c r="I99" s="25">
        <v>40</v>
      </c>
      <c r="J99" s="25">
        <v>0</v>
      </c>
    </row>
    <row r="100" spans="1:17" ht="16.899999999999999" customHeight="1" thickBot="1" x14ac:dyDescent="0.3">
      <c r="A100" s="249" t="s">
        <v>46</v>
      </c>
      <c r="B100" s="250"/>
      <c r="C100" s="251"/>
      <c r="D100" s="10">
        <v>180</v>
      </c>
      <c r="E100" s="10">
        <v>255.20050000000001</v>
      </c>
      <c r="F100" s="13">
        <v>2.1</v>
      </c>
      <c r="G100" s="13">
        <v>1.95</v>
      </c>
      <c r="H100" s="13">
        <v>12.91</v>
      </c>
      <c r="I100" s="13">
        <v>77.56</v>
      </c>
      <c r="J100" s="10">
        <v>0.8</v>
      </c>
      <c r="Q100" s="21">
        <v>330</v>
      </c>
    </row>
    <row r="101" spans="1:17" ht="21" hidden="1" customHeight="1" x14ac:dyDescent="0.25">
      <c r="A101" s="256" t="s">
        <v>12</v>
      </c>
      <c r="B101" s="257"/>
      <c r="C101" s="258"/>
      <c r="D101" s="24"/>
      <c r="E101" s="24"/>
      <c r="F101" s="22">
        <f>SUM(F99:F100)</f>
        <v>2.44</v>
      </c>
      <c r="G101" s="22">
        <f>SUM(G99:G100)</f>
        <v>3.88</v>
      </c>
      <c r="H101" s="22">
        <f>SUM(H99:H100)</f>
        <v>18.07</v>
      </c>
      <c r="I101" s="22">
        <f>SUM(I99:I100)</f>
        <v>117.56</v>
      </c>
      <c r="J101" s="25">
        <f>SUM(J99:J100)</f>
        <v>0.8</v>
      </c>
    </row>
    <row r="102" spans="1:17" ht="19.149999999999999" customHeight="1" x14ac:dyDescent="0.25">
      <c r="A102" s="268" t="s">
        <v>11</v>
      </c>
      <c r="B102" s="268"/>
      <c r="C102" s="268"/>
      <c r="D102" s="268"/>
      <c r="E102" s="268"/>
      <c r="F102" s="268"/>
      <c r="G102" s="268"/>
      <c r="H102" s="268"/>
      <c r="I102" s="268"/>
      <c r="J102" s="25"/>
    </row>
    <row r="103" spans="1:17" ht="29.25" customHeight="1" x14ac:dyDescent="0.25">
      <c r="A103" s="288" t="s">
        <v>176</v>
      </c>
      <c r="B103" s="288"/>
      <c r="C103" s="288"/>
      <c r="D103" s="26" t="s">
        <v>159</v>
      </c>
      <c r="E103" s="24">
        <v>27.200500000000002</v>
      </c>
      <c r="F103" s="25">
        <v>1.05</v>
      </c>
      <c r="G103" s="25">
        <v>3.36</v>
      </c>
      <c r="H103" s="25">
        <v>6.18</v>
      </c>
      <c r="I103" s="25">
        <v>59.19</v>
      </c>
      <c r="J103" s="25">
        <v>25.6</v>
      </c>
    </row>
    <row r="104" spans="1:17" x14ac:dyDescent="0.25">
      <c r="A104" s="61" t="s">
        <v>130</v>
      </c>
      <c r="B104" s="62"/>
      <c r="C104" s="63"/>
      <c r="D104" s="59">
        <v>61.6</v>
      </c>
      <c r="E104" s="24">
        <v>413.2004</v>
      </c>
      <c r="F104" s="25">
        <v>6.66</v>
      </c>
      <c r="G104" s="25">
        <v>14.34</v>
      </c>
      <c r="H104" s="25">
        <v>18.600000000000001</v>
      </c>
      <c r="I104" s="29">
        <f t="shared" ref="I104" si="9">(F104+H104)*4+G104*9</f>
        <v>230.10000000000002</v>
      </c>
      <c r="J104" s="25">
        <v>0.01</v>
      </c>
    </row>
    <row r="105" spans="1:17" x14ac:dyDescent="0.25">
      <c r="A105" s="60" t="s">
        <v>67</v>
      </c>
      <c r="B105" s="60"/>
      <c r="C105" s="60"/>
      <c r="D105" s="33">
        <v>180</v>
      </c>
      <c r="E105" s="10">
        <v>541.20039999999995</v>
      </c>
      <c r="F105" s="29">
        <v>1.64</v>
      </c>
      <c r="G105" s="29">
        <v>2.39</v>
      </c>
      <c r="H105" s="29">
        <v>9.3800000000000008</v>
      </c>
      <c r="I105" s="29">
        <v>65.59</v>
      </c>
      <c r="J105" s="25">
        <v>28.9</v>
      </c>
    </row>
    <row r="106" spans="1:17" ht="14.45" customHeight="1" x14ac:dyDescent="0.25">
      <c r="A106" s="15" t="s">
        <v>45</v>
      </c>
      <c r="B106" s="15"/>
      <c r="C106" s="15"/>
      <c r="D106" s="24">
        <v>180</v>
      </c>
      <c r="E106" s="24">
        <v>241.20050000000001</v>
      </c>
      <c r="F106" s="25">
        <v>0.08</v>
      </c>
      <c r="G106" s="25">
        <v>2.44</v>
      </c>
      <c r="H106" s="25">
        <v>17.46</v>
      </c>
      <c r="I106" s="25">
        <v>70.150000000000006</v>
      </c>
      <c r="J106" s="25">
        <v>0.7</v>
      </c>
    </row>
    <row r="107" spans="1:17" ht="15.75" customHeight="1" x14ac:dyDescent="0.25">
      <c r="A107" s="249" t="s">
        <v>23</v>
      </c>
      <c r="B107" s="250"/>
      <c r="C107" s="251"/>
      <c r="D107" s="24">
        <v>45</v>
      </c>
      <c r="E107" s="24" t="s">
        <v>80</v>
      </c>
      <c r="F107" s="25">
        <v>3.69</v>
      </c>
      <c r="G107" s="25">
        <v>3.6</v>
      </c>
      <c r="H107" s="25">
        <v>22.6</v>
      </c>
      <c r="I107" s="25">
        <f>220.21/100*45</f>
        <v>99.094500000000011</v>
      </c>
      <c r="J107" s="25">
        <v>0</v>
      </c>
    </row>
    <row r="108" spans="1:17" x14ac:dyDescent="0.25">
      <c r="A108" s="249" t="s">
        <v>13</v>
      </c>
      <c r="B108" s="250"/>
      <c r="C108" s="251"/>
      <c r="D108" s="24">
        <v>25</v>
      </c>
      <c r="E108" s="24" t="s">
        <v>79</v>
      </c>
      <c r="F108" s="25">
        <v>1.64</v>
      </c>
      <c r="G108" s="25">
        <f>0.28/100*45</f>
        <v>0.12600000000000003</v>
      </c>
      <c r="H108" s="25">
        <v>7.22</v>
      </c>
      <c r="I108" s="25">
        <v>40.799999999999997</v>
      </c>
      <c r="J108" s="25">
        <v>0</v>
      </c>
    </row>
    <row r="109" spans="1:17" x14ac:dyDescent="0.25">
      <c r="A109" s="243" t="s">
        <v>12</v>
      </c>
      <c r="B109" s="244"/>
      <c r="C109" s="245"/>
      <c r="D109" s="24"/>
      <c r="E109" s="24"/>
      <c r="F109" s="22">
        <f>SUM(F103:F108)</f>
        <v>14.76</v>
      </c>
      <c r="G109" s="22">
        <f>SUM(G103:G108)</f>
        <v>26.256000000000004</v>
      </c>
      <c r="H109" s="22">
        <f>SUM(H103:H108)</f>
        <v>81.44</v>
      </c>
      <c r="I109" s="22">
        <f>SUM(I103:I108)</f>
        <v>564.92449999999997</v>
      </c>
      <c r="J109" s="25">
        <f>SUM(J103:J108)</f>
        <v>55.210000000000008</v>
      </c>
    </row>
    <row r="110" spans="1:17" ht="13.9" customHeight="1" x14ac:dyDescent="0.25">
      <c r="A110" s="268" t="s">
        <v>37</v>
      </c>
      <c r="B110" s="268"/>
      <c r="C110" s="268"/>
      <c r="D110" s="268"/>
      <c r="E110" s="268"/>
      <c r="F110" s="268"/>
      <c r="G110" s="268"/>
      <c r="H110" s="268"/>
      <c r="I110" s="268"/>
      <c r="J110" s="25"/>
    </row>
    <row r="111" spans="1:17" ht="13.9" customHeight="1" x14ac:dyDescent="0.25">
      <c r="A111" s="284" t="s">
        <v>27</v>
      </c>
      <c r="B111" s="284"/>
      <c r="C111" s="284"/>
      <c r="D111" s="32">
        <v>200</v>
      </c>
      <c r="E111" s="24">
        <v>44.200499999999998</v>
      </c>
      <c r="F111" s="29">
        <v>6.12</v>
      </c>
      <c r="G111" s="29">
        <v>5.33</v>
      </c>
      <c r="H111" s="29">
        <v>29.6</v>
      </c>
      <c r="I111" s="29">
        <v>189.29</v>
      </c>
      <c r="J111" s="25">
        <v>0.7</v>
      </c>
    </row>
    <row r="112" spans="1:17" x14ac:dyDescent="0.25">
      <c r="A112" s="15" t="s">
        <v>68</v>
      </c>
      <c r="B112" s="15"/>
      <c r="C112" s="15"/>
      <c r="D112" s="24">
        <v>60</v>
      </c>
      <c r="E112" s="24" t="s">
        <v>145</v>
      </c>
      <c r="F112" s="25">
        <v>8.0500000000000007</v>
      </c>
      <c r="G112" s="25">
        <v>5.36</v>
      </c>
      <c r="H112" s="25">
        <v>27.14</v>
      </c>
      <c r="I112" s="25">
        <v>188.97</v>
      </c>
      <c r="J112" s="25">
        <v>1.2</v>
      </c>
    </row>
    <row r="113" spans="1:10" x14ac:dyDescent="0.25">
      <c r="A113" s="249" t="s">
        <v>22</v>
      </c>
      <c r="B113" s="250"/>
      <c r="C113" s="251"/>
      <c r="D113" s="33">
        <v>180</v>
      </c>
      <c r="E113" s="24">
        <v>261.20049999999998</v>
      </c>
      <c r="F113" s="13">
        <v>1.28</v>
      </c>
      <c r="G113" s="13">
        <v>1.08</v>
      </c>
      <c r="H113" s="13">
        <v>13.97</v>
      </c>
      <c r="I113" s="13">
        <f t="shared" ref="I113" si="10">(F113+H113)*4+G113</f>
        <v>62.08</v>
      </c>
      <c r="J113" s="6">
        <v>0.8</v>
      </c>
    </row>
    <row r="114" spans="1:10" x14ac:dyDescent="0.25">
      <c r="A114" s="249" t="s">
        <v>13</v>
      </c>
      <c r="B114" s="250"/>
      <c r="C114" s="251"/>
      <c r="D114" s="24">
        <v>15</v>
      </c>
      <c r="E114" s="24" t="s">
        <v>81</v>
      </c>
      <c r="F114" s="25">
        <v>1.64</v>
      </c>
      <c r="G114" s="25">
        <f>0.28/100*45</f>
        <v>0.12600000000000003</v>
      </c>
      <c r="H114" s="25">
        <v>7.22</v>
      </c>
      <c r="I114" s="25">
        <v>37.96</v>
      </c>
      <c r="J114" s="25">
        <v>0</v>
      </c>
    </row>
    <row r="115" spans="1:10" x14ac:dyDescent="0.25">
      <c r="A115" s="243" t="s">
        <v>12</v>
      </c>
      <c r="B115" s="244"/>
      <c r="C115" s="245"/>
      <c r="D115" s="56">
        <f>SUM(D111:D114)</f>
        <v>455</v>
      </c>
      <c r="E115" s="56"/>
      <c r="F115" s="22">
        <f>SUM(F111:F114)</f>
        <v>17.09</v>
      </c>
      <c r="G115" s="22">
        <f>SUM(G111:G114)</f>
        <v>11.896000000000001</v>
      </c>
      <c r="H115" s="22">
        <f>SUM(H111:H114)</f>
        <v>77.930000000000007</v>
      </c>
      <c r="I115" s="22">
        <f>SUM(I111:I114)</f>
        <v>478.29999999999995</v>
      </c>
      <c r="J115" s="25">
        <f>SUM(J111:J114)</f>
        <v>2.7</v>
      </c>
    </row>
    <row r="116" spans="1:10" x14ac:dyDescent="0.25">
      <c r="A116" s="243" t="s">
        <v>14</v>
      </c>
      <c r="B116" s="244"/>
      <c r="C116" s="245"/>
      <c r="D116" s="56"/>
      <c r="E116" s="56"/>
      <c r="F116" s="22">
        <f>F97+F101+F109+F115</f>
        <v>45.37</v>
      </c>
      <c r="G116" s="22">
        <f>G97+G101+G109+G115</f>
        <v>59.942000000000007</v>
      </c>
      <c r="H116" s="22">
        <f>H97+H101+H109+H115</f>
        <v>241.23000000000002</v>
      </c>
      <c r="I116" s="22">
        <f>I97+I101+I109+I115</f>
        <v>1781.5145</v>
      </c>
      <c r="J116" s="25">
        <f>J115+J109+J101+J97</f>
        <v>59.510000000000005</v>
      </c>
    </row>
    <row r="117" spans="1:10" x14ac:dyDescent="0.25">
      <c r="A117" s="16"/>
      <c r="B117" s="16"/>
      <c r="C117" s="16"/>
      <c r="D117" s="57"/>
      <c r="E117" s="57"/>
      <c r="F117" s="30"/>
      <c r="G117" s="30"/>
      <c r="H117" s="30"/>
      <c r="I117" s="30"/>
    </row>
    <row r="118" spans="1:10" ht="15" customHeight="1" x14ac:dyDescent="0.25">
      <c r="A118" s="269" t="s">
        <v>0</v>
      </c>
      <c r="B118" s="269"/>
      <c r="C118" s="269"/>
      <c r="D118" s="56" t="s">
        <v>1</v>
      </c>
      <c r="E118" s="56" t="s">
        <v>2</v>
      </c>
      <c r="F118" s="22" t="s">
        <v>3</v>
      </c>
      <c r="G118" s="22" t="s">
        <v>4</v>
      </c>
      <c r="H118" s="22" t="s">
        <v>28</v>
      </c>
      <c r="I118" s="23" t="s">
        <v>75</v>
      </c>
      <c r="J118" s="22" t="s">
        <v>76</v>
      </c>
    </row>
    <row r="119" spans="1:10" ht="17.45" customHeight="1" x14ac:dyDescent="0.25">
      <c r="A119" s="269" t="s">
        <v>21</v>
      </c>
      <c r="B119" s="269"/>
      <c r="C119" s="269"/>
      <c r="D119" s="269"/>
      <c r="E119" s="269"/>
      <c r="F119" s="269"/>
      <c r="G119" s="269"/>
      <c r="H119" s="269"/>
      <c r="I119" s="269"/>
      <c r="J119" s="269"/>
    </row>
    <row r="120" spans="1:10" ht="17.45" customHeight="1" x14ac:dyDescent="0.25">
      <c r="A120" s="269" t="s">
        <v>20</v>
      </c>
      <c r="B120" s="269"/>
      <c r="C120" s="269"/>
      <c r="D120" s="269"/>
      <c r="E120" s="269"/>
      <c r="F120" s="269"/>
      <c r="G120" s="269"/>
      <c r="H120" s="269"/>
      <c r="I120" s="269"/>
      <c r="J120" s="269"/>
    </row>
    <row r="121" spans="1:10" ht="15.75" customHeight="1" x14ac:dyDescent="0.25">
      <c r="A121" s="269" t="s">
        <v>9</v>
      </c>
      <c r="B121" s="269"/>
      <c r="C121" s="269"/>
      <c r="D121" s="269"/>
      <c r="E121" s="269"/>
      <c r="F121" s="269"/>
      <c r="G121" s="269"/>
      <c r="H121" s="269"/>
      <c r="I121" s="269"/>
      <c r="J121" s="25"/>
    </row>
    <row r="122" spans="1:10" x14ac:dyDescent="0.25">
      <c r="A122" s="15" t="s">
        <v>118</v>
      </c>
      <c r="B122" s="15"/>
      <c r="C122" s="15"/>
      <c r="D122" s="27" t="s">
        <v>126</v>
      </c>
      <c r="E122" s="24" t="s">
        <v>138</v>
      </c>
      <c r="F122" s="25">
        <v>2.87</v>
      </c>
      <c r="G122" s="25">
        <v>8.61</v>
      </c>
      <c r="H122" s="25">
        <v>0.05</v>
      </c>
      <c r="I122" s="25">
        <v>89.18</v>
      </c>
      <c r="J122" s="25">
        <v>0.1</v>
      </c>
    </row>
    <row r="123" spans="1:10" ht="31.15" customHeight="1" x14ac:dyDescent="0.25">
      <c r="A123" s="280" t="s">
        <v>186</v>
      </c>
      <c r="B123" s="280"/>
      <c r="C123" s="280"/>
      <c r="D123" s="24" t="s">
        <v>56</v>
      </c>
      <c r="E123" s="24">
        <v>98.200500000000005</v>
      </c>
      <c r="F123" s="29">
        <v>13.81</v>
      </c>
      <c r="G123" s="29">
        <v>12.76</v>
      </c>
      <c r="H123" s="29">
        <v>32.06</v>
      </c>
      <c r="I123" s="29">
        <v>298.37</v>
      </c>
      <c r="J123" s="25">
        <v>6.3</v>
      </c>
    </row>
    <row r="124" spans="1:10" x14ac:dyDescent="0.25">
      <c r="A124" s="249" t="s">
        <v>22</v>
      </c>
      <c r="B124" s="250"/>
      <c r="C124" s="251"/>
      <c r="D124" s="10">
        <v>180</v>
      </c>
      <c r="E124" s="10">
        <v>261.20049999999998</v>
      </c>
      <c r="F124" s="13">
        <v>1.28</v>
      </c>
      <c r="G124" s="13">
        <v>1.08</v>
      </c>
      <c r="H124" s="13">
        <v>13.97</v>
      </c>
      <c r="I124" s="13">
        <f t="shared" ref="I124" si="11">(F124+H124)*4+G124</f>
        <v>62.08</v>
      </c>
      <c r="J124" s="6">
        <v>0.8</v>
      </c>
    </row>
    <row r="125" spans="1:10" x14ac:dyDescent="0.25">
      <c r="A125" s="243" t="s">
        <v>12</v>
      </c>
      <c r="B125" s="244"/>
      <c r="C125" s="245"/>
      <c r="D125" s="24"/>
      <c r="E125" s="24"/>
      <c r="F125" s="22">
        <f>SUM(F122:F124)</f>
        <v>17.96</v>
      </c>
      <c r="G125" s="22">
        <f>SUM(G122:G124)</f>
        <v>22.449999999999996</v>
      </c>
      <c r="H125" s="22">
        <f>SUM(H122:H124)</f>
        <v>46.08</v>
      </c>
      <c r="I125" s="22">
        <f>SUM(I122:I124)</f>
        <v>449.63</v>
      </c>
      <c r="J125" s="25">
        <f>SUM(J122:J124)</f>
        <v>7.1999999999999993</v>
      </c>
    </row>
    <row r="126" spans="1:10" ht="17.45" customHeight="1" x14ac:dyDescent="0.25">
      <c r="A126" s="269" t="s">
        <v>8</v>
      </c>
      <c r="B126" s="269"/>
      <c r="C126" s="269"/>
      <c r="D126" s="269"/>
      <c r="E126" s="269"/>
      <c r="F126" s="269"/>
      <c r="G126" s="269"/>
      <c r="H126" s="269"/>
      <c r="I126" s="269"/>
      <c r="J126" s="25"/>
    </row>
    <row r="127" spans="1:10" ht="17.45" customHeight="1" x14ac:dyDescent="0.25">
      <c r="A127" s="15" t="s">
        <v>38</v>
      </c>
      <c r="B127" s="15"/>
      <c r="C127" s="15"/>
      <c r="D127" s="24">
        <v>30</v>
      </c>
      <c r="E127" s="24" t="s">
        <v>86</v>
      </c>
      <c r="F127" s="25">
        <v>0.34</v>
      </c>
      <c r="G127" s="25">
        <v>1.93</v>
      </c>
      <c r="H127" s="25">
        <v>5.16</v>
      </c>
      <c r="I127" s="25">
        <v>40</v>
      </c>
      <c r="J127" s="25">
        <v>0</v>
      </c>
    </row>
    <row r="128" spans="1:10" ht="16.149999999999999" customHeight="1" x14ac:dyDescent="0.25">
      <c r="A128" s="266" t="s">
        <v>119</v>
      </c>
      <c r="B128" s="266"/>
      <c r="C128" s="266"/>
      <c r="D128" s="14">
        <v>180</v>
      </c>
      <c r="E128" s="10" t="s">
        <v>78</v>
      </c>
      <c r="F128" s="13">
        <v>5.04</v>
      </c>
      <c r="G128" s="13">
        <v>4.5</v>
      </c>
      <c r="H128" s="13">
        <v>8.4600000000000009</v>
      </c>
      <c r="I128" s="13">
        <v>94.5</v>
      </c>
      <c r="J128" s="6">
        <v>0.7</v>
      </c>
    </row>
    <row r="129" spans="1:12" ht="16.149999999999999" hidden="1" customHeight="1" x14ac:dyDescent="0.25">
      <c r="A129" s="243" t="s">
        <v>12</v>
      </c>
      <c r="B129" s="244"/>
      <c r="C129" s="245"/>
      <c r="D129" s="24"/>
      <c r="E129" s="24"/>
      <c r="F129" s="22">
        <f>SUM(F128)</f>
        <v>5.04</v>
      </c>
      <c r="G129" s="22"/>
      <c r="H129" s="22">
        <f>SUM(H128)</f>
        <v>8.4600000000000009</v>
      </c>
      <c r="I129" s="22">
        <f>SUM(I128)</f>
        <v>94.5</v>
      </c>
      <c r="J129" s="25">
        <v>16</v>
      </c>
    </row>
    <row r="130" spans="1:12" x14ac:dyDescent="0.25">
      <c r="A130" s="269" t="s">
        <v>11</v>
      </c>
      <c r="B130" s="269"/>
      <c r="C130" s="269"/>
      <c r="D130" s="269"/>
      <c r="E130" s="269"/>
      <c r="F130" s="269"/>
      <c r="G130" s="269"/>
      <c r="H130" s="269"/>
      <c r="I130" s="269"/>
      <c r="J130" s="25"/>
    </row>
    <row r="131" spans="1:12" ht="15" customHeight="1" x14ac:dyDescent="0.25">
      <c r="A131" s="249" t="s">
        <v>66</v>
      </c>
      <c r="B131" s="250"/>
      <c r="C131" s="251"/>
      <c r="D131" s="24">
        <v>60</v>
      </c>
      <c r="E131" s="33">
        <v>12.2005</v>
      </c>
      <c r="F131" s="29">
        <v>0.78</v>
      </c>
      <c r="G131" s="29">
        <v>3.05</v>
      </c>
      <c r="H131" s="29">
        <v>7.73</v>
      </c>
      <c r="I131" s="29">
        <v>61.47</v>
      </c>
      <c r="J131" s="25">
        <v>12.3</v>
      </c>
    </row>
    <row r="132" spans="1:12" ht="15.6" customHeight="1" x14ac:dyDescent="0.25">
      <c r="A132" s="259" t="s">
        <v>164</v>
      </c>
      <c r="B132" s="259"/>
      <c r="C132" s="259"/>
      <c r="D132" s="24" t="s">
        <v>165</v>
      </c>
      <c r="E132" s="24">
        <v>37.200499999999998</v>
      </c>
      <c r="F132" s="25">
        <v>1.6</v>
      </c>
      <c r="G132" s="25">
        <v>2.44</v>
      </c>
      <c r="H132" s="25">
        <v>10.029999999999999</v>
      </c>
      <c r="I132" s="25">
        <v>68.47</v>
      </c>
      <c r="J132" s="25">
        <v>11.1</v>
      </c>
    </row>
    <row r="133" spans="1:12" ht="15" customHeight="1" x14ac:dyDescent="0.25">
      <c r="A133" s="39" t="s">
        <v>84</v>
      </c>
      <c r="B133" s="39"/>
      <c r="C133" s="39"/>
      <c r="D133" s="33" t="s">
        <v>48</v>
      </c>
      <c r="E133" s="24">
        <v>162.20050000000001</v>
      </c>
      <c r="F133" s="25">
        <v>16.600000000000001</v>
      </c>
      <c r="G133" s="25">
        <v>9.6999999999999993</v>
      </c>
      <c r="H133" s="25">
        <v>2.29</v>
      </c>
      <c r="I133" s="25">
        <v>162.93</v>
      </c>
      <c r="J133" s="25">
        <v>16.899999999999999</v>
      </c>
      <c r="L133" s="17"/>
    </row>
    <row r="134" spans="1:12" ht="16.149999999999999" customHeight="1" x14ac:dyDescent="0.25">
      <c r="A134" s="246" t="s">
        <v>16</v>
      </c>
      <c r="B134" s="247"/>
      <c r="C134" s="248"/>
      <c r="D134" s="24">
        <v>150</v>
      </c>
      <c r="E134" s="24">
        <v>206.20050000000001</v>
      </c>
      <c r="F134" s="29">
        <v>3.18</v>
      </c>
      <c r="G134" s="29">
        <v>3.97</v>
      </c>
      <c r="H134" s="29">
        <v>21.65</v>
      </c>
      <c r="I134" s="29">
        <v>135.01</v>
      </c>
      <c r="J134" s="25">
        <v>8.9</v>
      </c>
    </row>
    <row r="135" spans="1:12" ht="14.45" customHeight="1" x14ac:dyDescent="0.25">
      <c r="A135" s="15" t="s">
        <v>45</v>
      </c>
      <c r="B135" s="15"/>
      <c r="C135" s="15"/>
      <c r="D135" s="24">
        <v>180</v>
      </c>
      <c r="E135" s="24">
        <v>241.20050000000001</v>
      </c>
      <c r="F135" s="25">
        <v>0.28999999999999998</v>
      </c>
      <c r="G135" s="25">
        <v>0.4</v>
      </c>
      <c r="H135" s="25">
        <v>15.99</v>
      </c>
      <c r="I135" s="25">
        <v>65.12</v>
      </c>
      <c r="J135" s="25">
        <v>16</v>
      </c>
    </row>
    <row r="136" spans="1:12" x14ac:dyDescent="0.25">
      <c r="A136" s="249" t="s">
        <v>23</v>
      </c>
      <c r="B136" s="250"/>
      <c r="C136" s="251"/>
      <c r="D136" s="24">
        <v>45</v>
      </c>
      <c r="E136" s="24" t="s">
        <v>80</v>
      </c>
      <c r="F136" s="25">
        <v>3.69</v>
      </c>
      <c r="G136" s="25">
        <v>3.6</v>
      </c>
      <c r="H136" s="25">
        <v>22.6</v>
      </c>
      <c r="I136" s="25">
        <f>220.21/100*45</f>
        <v>99.094500000000011</v>
      </c>
      <c r="J136" s="25">
        <v>0</v>
      </c>
    </row>
    <row r="137" spans="1:12" ht="17.45" customHeight="1" x14ac:dyDescent="0.25">
      <c r="A137" s="249" t="s">
        <v>13</v>
      </c>
      <c r="B137" s="250"/>
      <c r="C137" s="251"/>
      <c r="D137" s="24">
        <v>20</v>
      </c>
      <c r="E137" s="24" t="s">
        <v>79</v>
      </c>
      <c r="F137" s="25">
        <v>1.64</v>
      </c>
      <c r="G137" s="25">
        <f>0.28/100*45</f>
        <v>0.12600000000000003</v>
      </c>
      <c r="H137" s="25">
        <v>7.22</v>
      </c>
      <c r="I137" s="25">
        <v>40.799999999999997</v>
      </c>
      <c r="J137" s="25">
        <v>0</v>
      </c>
    </row>
    <row r="138" spans="1:12" ht="13.9" customHeight="1" x14ac:dyDescent="0.25">
      <c r="A138" s="49" t="s">
        <v>12</v>
      </c>
      <c r="B138" s="50"/>
      <c r="C138" s="51"/>
      <c r="D138" s="24"/>
      <c r="E138" s="24"/>
      <c r="F138" s="22">
        <f>SUM(F131:F137)</f>
        <v>27.78</v>
      </c>
      <c r="G138" s="22">
        <f>SUM(G131:G137)</f>
        <v>23.286000000000001</v>
      </c>
      <c r="H138" s="22">
        <f>SUM(H131:H137)</f>
        <v>87.509999999999991</v>
      </c>
      <c r="I138" s="22">
        <f>SUM(I131:I137)</f>
        <v>632.89449999999999</v>
      </c>
      <c r="J138" s="25">
        <f>SUM(J131:J137)</f>
        <v>65.199999999999989</v>
      </c>
    </row>
    <row r="139" spans="1:12" ht="13.9" customHeight="1" x14ac:dyDescent="0.25">
      <c r="A139" s="285" t="s">
        <v>37</v>
      </c>
      <c r="B139" s="286"/>
      <c r="C139" s="286"/>
      <c r="D139" s="286"/>
      <c r="E139" s="286"/>
      <c r="F139" s="286"/>
      <c r="G139" s="286"/>
      <c r="H139" s="286"/>
      <c r="I139" s="286"/>
      <c r="J139" s="287"/>
    </row>
    <row r="140" spans="1:12" ht="13.9" customHeight="1" x14ac:dyDescent="0.25">
      <c r="A140" s="237" t="s">
        <v>171</v>
      </c>
      <c r="B140" s="238"/>
      <c r="C140" s="239"/>
      <c r="D140" s="14">
        <v>60</v>
      </c>
      <c r="E140" s="14">
        <v>78.200400000000002</v>
      </c>
      <c r="F140" s="11">
        <v>1.1399999999999999</v>
      </c>
      <c r="G140" s="11">
        <v>2.04</v>
      </c>
      <c r="H140" s="11">
        <v>7.01</v>
      </c>
      <c r="I140" s="11">
        <f>(F140+H140)*4+G140*9</f>
        <v>50.96</v>
      </c>
      <c r="J140" s="10">
        <v>11.3</v>
      </c>
    </row>
    <row r="141" spans="1:12" ht="14.45" customHeight="1" x14ac:dyDescent="0.25">
      <c r="A141" s="53" t="s">
        <v>70</v>
      </c>
      <c r="B141" s="54"/>
      <c r="C141" s="55"/>
      <c r="D141" s="32">
        <v>105</v>
      </c>
      <c r="E141" s="24">
        <v>110.20050000000001</v>
      </c>
      <c r="F141" s="25">
        <v>8.77</v>
      </c>
      <c r="G141" s="25">
        <v>12.03</v>
      </c>
      <c r="H141" s="25">
        <v>2.34</v>
      </c>
      <c r="I141" s="25">
        <v>152.65</v>
      </c>
      <c r="J141" s="25">
        <v>0</v>
      </c>
    </row>
    <row r="142" spans="1:12" ht="13.5" customHeight="1" x14ac:dyDescent="0.25">
      <c r="A142" s="281" t="s">
        <v>7</v>
      </c>
      <c r="B142" s="282"/>
      <c r="C142" s="283"/>
      <c r="D142" s="24">
        <v>180</v>
      </c>
      <c r="E142" s="71" t="s">
        <v>173</v>
      </c>
      <c r="F142" s="25">
        <v>0.1</v>
      </c>
      <c r="G142" s="25">
        <v>0.03</v>
      </c>
      <c r="H142" s="25">
        <v>12.8</v>
      </c>
      <c r="I142" s="25">
        <v>51.5</v>
      </c>
      <c r="J142" s="25">
        <v>0</v>
      </c>
      <c r="K142" s="17"/>
    </row>
    <row r="143" spans="1:12" ht="12.6" customHeight="1" x14ac:dyDescent="0.25">
      <c r="A143" s="240" t="s">
        <v>13</v>
      </c>
      <c r="B143" s="241"/>
      <c r="C143" s="242"/>
      <c r="D143" s="32">
        <v>20</v>
      </c>
      <c r="E143" s="24" t="s">
        <v>81</v>
      </c>
      <c r="F143" s="25">
        <v>2.87</v>
      </c>
      <c r="G143" s="25">
        <v>0.49</v>
      </c>
      <c r="H143" s="25">
        <v>12.64</v>
      </c>
      <c r="I143" s="25">
        <v>66.430000000000007</v>
      </c>
      <c r="J143" s="25">
        <v>0.9</v>
      </c>
    </row>
    <row r="144" spans="1:12" x14ac:dyDescent="0.25">
      <c r="A144" s="240" t="s">
        <v>39</v>
      </c>
      <c r="B144" s="241"/>
      <c r="C144" s="242"/>
      <c r="D144" s="32">
        <v>200</v>
      </c>
      <c r="E144" s="24" t="s">
        <v>82</v>
      </c>
      <c r="F144" s="25">
        <v>1.8</v>
      </c>
      <c r="G144" s="25">
        <v>0.4</v>
      </c>
      <c r="H144" s="25">
        <v>16.2</v>
      </c>
      <c r="I144" s="25">
        <v>75.599999999999994</v>
      </c>
      <c r="J144" s="25">
        <v>16</v>
      </c>
    </row>
    <row r="145" spans="1:10" x14ac:dyDescent="0.25">
      <c r="A145" s="237" t="s">
        <v>12</v>
      </c>
      <c r="B145" s="238"/>
      <c r="C145" s="239"/>
      <c r="D145" s="52">
        <f>SUM(D141:D144)</f>
        <v>505</v>
      </c>
      <c r="E145" s="52"/>
      <c r="F145" s="28">
        <f>SUM(F141:F144)</f>
        <v>13.54</v>
      </c>
      <c r="G145" s="28">
        <f>SUM(G141:G144)</f>
        <v>12.95</v>
      </c>
      <c r="H145" s="28">
        <f>SUM(H141:H144)</f>
        <v>43.980000000000004</v>
      </c>
      <c r="I145" s="28">
        <f>SUM(I141:I144)</f>
        <v>346.18000000000006</v>
      </c>
      <c r="J145" s="25">
        <f>SUM(J142:J144)</f>
        <v>16.899999999999999</v>
      </c>
    </row>
    <row r="146" spans="1:10" ht="15.75" thickBot="1" x14ac:dyDescent="0.3">
      <c r="A146" s="42" t="s">
        <v>14</v>
      </c>
      <c r="B146" s="43"/>
      <c r="C146" s="43"/>
      <c r="D146" s="44"/>
      <c r="E146" s="45"/>
      <c r="F146" s="46">
        <f>F125+F129+F138+F145</f>
        <v>64.319999999999993</v>
      </c>
      <c r="G146" s="46">
        <f>G125+G129+G138+G145</f>
        <v>58.685999999999993</v>
      </c>
      <c r="H146" s="46">
        <f>H125+H129+H138+H145</f>
        <v>186.02999999999997</v>
      </c>
      <c r="I146" s="47">
        <f>I125+I129+I138+I145</f>
        <v>1523.2045000000001</v>
      </c>
      <c r="J146" s="25">
        <f>J145+J138+J129+J125</f>
        <v>105.3</v>
      </c>
    </row>
    <row r="147" spans="1:10" x14ac:dyDescent="0.25">
      <c r="A147" s="19"/>
      <c r="B147" s="19"/>
      <c r="C147" s="19"/>
      <c r="D147" s="35"/>
      <c r="E147" s="35"/>
      <c r="F147" s="36"/>
      <c r="G147" s="36"/>
      <c r="H147" s="36"/>
      <c r="I147" s="36"/>
    </row>
    <row r="148" spans="1:10" x14ac:dyDescent="0.25">
      <c r="A148" s="1" t="s">
        <v>31</v>
      </c>
      <c r="B148" s="1"/>
      <c r="C148" s="1"/>
      <c r="D148" s="2"/>
    </row>
    <row r="149" spans="1:10" x14ac:dyDescent="0.25">
      <c r="A149" s="1" t="s">
        <v>32</v>
      </c>
      <c r="B149" s="1"/>
      <c r="C149" s="1"/>
      <c r="D149" s="2"/>
      <c r="E149" s="2"/>
      <c r="F149" s="3"/>
      <c r="G149" s="3"/>
      <c r="H149" s="3"/>
      <c r="I149" s="3"/>
    </row>
    <row r="150" spans="1:10" x14ac:dyDescent="0.25">
      <c r="A150" s="1" t="s">
        <v>33</v>
      </c>
      <c r="B150" s="1"/>
      <c r="C150" s="1"/>
      <c r="D150" s="2"/>
      <c r="E150" s="2"/>
      <c r="F150" s="3"/>
      <c r="G150" s="3"/>
      <c r="H150" s="3"/>
      <c r="I150" s="3"/>
    </row>
    <row r="151" spans="1:10" x14ac:dyDescent="0.25">
      <c r="A151" s="1" t="s">
        <v>34</v>
      </c>
      <c r="B151" s="1"/>
      <c r="C151" s="1"/>
      <c r="D151" s="2"/>
      <c r="E151" s="2"/>
      <c r="F151" s="3"/>
      <c r="G151" s="3"/>
      <c r="H151" s="3"/>
      <c r="I151" s="3"/>
    </row>
    <row r="152" spans="1:10" x14ac:dyDescent="0.25">
      <c r="A152" s="1" t="s">
        <v>35</v>
      </c>
      <c r="B152" s="1"/>
      <c r="C152" s="1"/>
      <c r="D152" s="2"/>
      <c r="E152" s="2"/>
      <c r="F152" s="3"/>
      <c r="G152" s="3"/>
      <c r="H152" s="3"/>
      <c r="I152" s="3"/>
    </row>
    <row r="153" spans="1:10" x14ac:dyDescent="0.25">
      <c r="A153" s="1"/>
      <c r="B153" s="1"/>
      <c r="C153" s="1"/>
      <c r="D153" s="2"/>
      <c r="E153" s="2"/>
      <c r="F153" s="3"/>
      <c r="G153" s="3"/>
      <c r="H153" s="3"/>
      <c r="I153" s="3"/>
    </row>
  </sheetData>
  <mergeCells count="122">
    <mergeCell ref="A143:C143"/>
    <mergeCell ref="A103:C103"/>
    <mergeCell ref="A10:C10"/>
    <mergeCell ref="A11:C11"/>
    <mergeCell ref="A55:C55"/>
    <mergeCell ref="A73:C73"/>
    <mergeCell ref="A44:C44"/>
    <mergeCell ref="A32:C32"/>
    <mergeCell ref="A40:I40"/>
    <mergeCell ref="A43:I43"/>
    <mergeCell ref="A36:C36"/>
    <mergeCell ref="A33:J33"/>
    <mergeCell ref="A34:J34"/>
    <mergeCell ref="A35:J35"/>
    <mergeCell ref="A42:C42"/>
    <mergeCell ref="A63:J63"/>
    <mergeCell ref="A49:C49"/>
    <mergeCell ref="A51:C51"/>
    <mergeCell ref="A50:C50"/>
    <mergeCell ref="A56:C56"/>
    <mergeCell ref="A98:I98"/>
    <mergeCell ref="A69:I69"/>
    <mergeCell ref="A93:J93"/>
    <mergeCell ref="A68:C68"/>
    <mergeCell ref="A142:C142"/>
    <mergeCell ref="A97:C97"/>
    <mergeCell ref="A78:C78"/>
    <mergeCell ref="A82:C82"/>
    <mergeCell ref="A96:C96"/>
    <mergeCell ref="A67:C67"/>
    <mergeCell ref="A70:C70"/>
    <mergeCell ref="A74:C74"/>
    <mergeCell ref="A64:J64"/>
    <mergeCell ref="A91:J91"/>
    <mergeCell ref="A92:J92"/>
    <mergeCell ref="A132:C132"/>
    <mergeCell ref="A111:C111"/>
    <mergeCell ref="A118:C118"/>
    <mergeCell ref="A119:J119"/>
    <mergeCell ref="A120:J120"/>
    <mergeCell ref="A113:C113"/>
    <mergeCell ref="A114:C114"/>
    <mergeCell ref="A130:I130"/>
    <mergeCell ref="A126:I126"/>
    <mergeCell ref="A123:C123"/>
    <mergeCell ref="A125:C125"/>
    <mergeCell ref="A129:C129"/>
    <mergeCell ref="A139:J139"/>
    <mergeCell ref="A52:I52"/>
    <mergeCell ref="A1:C1"/>
    <mergeCell ref="A9:I9"/>
    <mergeCell ref="A13:I13"/>
    <mergeCell ref="A15:C15"/>
    <mergeCell ref="A5:C5"/>
    <mergeCell ref="A45:C45"/>
    <mergeCell ref="A2:J2"/>
    <mergeCell ref="A3:J3"/>
    <mergeCell ref="A4:J4"/>
    <mergeCell ref="A14:C14"/>
    <mergeCell ref="A22:C22"/>
    <mergeCell ref="A23:C23"/>
    <mergeCell ref="A6:C6"/>
    <mergeCell ref="A41:C41"/>
    <mergeCell ref="A21:I21"/>
    <mergeCell ref="A47:C47"/>
    <mergeCell ref="A75:C75"/>
    <mergeCell ref="A85:C85"/>
    <mergeCell ref="A86:C86"/>
    <mergeCell ref="A87:C87"/>
    <mergeCell ref="A80:C80"/>
    <mergeCell ref="A79:C79"/>
    <mergeCell ref="A83:C83"/>
    <mergeCell ref="A84:C84"/>
    <mergeCell ref="A61:C61"/>
    <mergeCell ref="A137:C137"/>
    <mergeCell ref="A46:C46"/>
    <mergeCell ref="A53:C53"/>
    <mergeCell ref="A54:C54"/>
    <mergeCell ref="A128:C128"/>
    <mergeCell ref="O43:Q43"/>
    <mergeCell ref="A102:I102"/>
    <mergeCell ref="A72:I72"/>
    <mergeCell ref="A81:I81"/>
    <mergeCell ref="A90:C90"/>
    <mergeCell ref="A110:I110"/>
    <mergeCell ref="A94:C94"/>
    <mergeCell ref="A62:J62"/>
    <mergeCell ref="A108:C108"/>
    <mergeCell ref="A57:C57"/>
    <mergeCell ref="A65:C65"/>
    <mergeCell ref="A58:C58"/>
    <mergeCell ref="A59:C59"/>
    <mergeCell ref="A115:C115"/>
    <mergeCell ref="A116:C116"/>
    <mergeCell ref="A121:I121"/>
    <mergeCell ref="A95:C95"/>
    <mergeCell ref="A100:C100"/>
    <mergeCell ref="A71:C71"/>
    <mergeCell ref="A140:C140"/>
    <mergeCell ref="A144:C144"/>
    <mergeCell ref="A145:C145"/>
    <mergeCell ref="A8:C8"/>
    <mergeCell ref="A12:C12"/>
    <mergeCell ref="A16:C16"/>
    <mergeCell ref="A18:C18"/>
    <mergeCell ref="A19:C19"/>
    <mergeCell ref="A20:C20"/>
    <mergeCell ref="A24:C24"/>
    <mergeCell ref="A25:C25"/>
    <mergeCell ref="A26:C26"/>
    <mergeCell ref="A27:C27"/>
    <mergeCell ref="A28:C28"/>
    <mergeCell ref="A37:C37"/>
    <mergeCell ref="A39:C39"/>
    <mergeCell ref="A134:C134"/>
    <mergeCell ref="A136:C136"/>
    <mergeCell ref="A66:C66"/>
    <mergeCell ref="A124:C124"/>
    <mergeCell ref="A101:C101"/>
    <mergeCell ref="A131:C131"/>
    <mergeCell ref="A107:C107"/>
    <mergeCell ref="A109:C109"/>
  </mergeCells>
  <pageMargins left="0.70866141732283472" right="0.70866141732283472" top="0.74803149606299213" bottom="0.74803149606299213" header="0.31496062992125984" footer="0.31496062992125984"/>
  <pageSetup paperSize="9" scale="2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20"/>
  <sheetViews>
    <sheetView workbookViewId="0">
      <selection activeCell="B6" sqref="B6:E10"/>
    </sheetView>
  </sheetViews>
  <sheetFormatPr defaultRowHeight="15" x14ac:dyDescent="0.25"/>
  <sheetData>
    <row r="6" spans="1:14" ht="15.75" x14ac:dyDescent="0.25">
      <c r="B6" s="4" t="s">
        <v>87</v>
      </c>
      <c r="C6" s="4"/>
      <c r="D6" s="4"/>
      <c r="E6" s="4"/>
      <c r="F6" s="4"/>
      <c r="G6" s="4"/>
      <c r="H6" s="4"/>
      <c r="I6" s="4"/>
      <c r="J6" s="4"/>
      <c r="K6" s="4" t="s">
        <v>87</v>
      </c>
      <c r="L6" s="4"/>
      <c r="M6" s="4"/>
      <c r="N6" s="4"/>
    </row>
    <row r="7" spans="1:14" ht="15.75" x14ac:dyDescent="0.25">
      <c r="B7" s="4" t="s">
        <v>194</v>
      </c>
      <c r="C7" s="4"/>
      <c r="D7" s="4"/>
      <c r="E7" s="4"/>
      <c r="F7" s="4"/>
      <c r="G7" s="4"/>
      <c r="H7" s="4"/>
      <c r="I7" s="4"/>
      <c r="J7" s="4"/>
      <c r="K7" s="4" t="s">
        <v>88</v>
      </c>
      <c r="L7" s="4"/>
      <c r="M7" s="4"/>
      <c r="N7" s="4"/>
    </row>
    <row r="8" spans="1:14" ht="15.75" x14ac:dyDescent="0.25">
      <c r="B8" s="4" t="s">
        <v>195</v>
      </c>
      <c r="C8" s="4"/>
      <c r="D8" s="4"/>
      <c r="E8" s="4"/>
      <c r="F8" s="4"/>
      <c r="G8" s="4"/>
      <c r="H8" s="4"/>
      <c r="I8" s="4"/>
      <c r="J8" s="4"/>
      <c r="K8" s="4" t="s">
        <v>89</v>
      </c>
      <c r="L8" s="4"/>
      <c r="M8" s="4"/>
      <c r="N8" s="4"/>
    </row>
    <row r="9" spans="1:14" ht="15.75" x14ac:dyDescent="0.25">
      <c r="B9" s="4" t="s">
        <v>196</v>
      </c>
      <c r="C9" s="4"/>
      <c r="D9" s="4"/>
      <c r="E9" s="4"/>
      <c r="F9" s="4"/>
      <c r="G9" s="4"/>
      <c r="H9" s="4"/>
      <c r="I9" s="4"/>
      <c r="J9" s="4"/>
      <c r="K9" s="4" t="s">
        <v>90</v>
      </c>
      <c r="L9" s="4"/>
      <c r="M9" s="4"/>
      <c r="N9" s="4"/>
    </row>
    <row r="10" spans="1:14" ht="15.75" x14ac:dyDescent="0.25">
      <c r="B10" s="4"/>
      <c r="C10" s="4"/>
      <c r="D10" s="4"/>
      <c r="E10" s="4"/>
      <c r="F10" s="4"/>
      <c r="G10" s="4"/>
      <c r="H10" s="4"/>
      <c r="I10" s="4"/>
      <c r="J10" s="4"/>
      <c r="K10" s="4" t="s">
        <v>91</v>
      </c>
      <c r="L10" s="4"/>
      <c r="M10" s="4"/>
      <c r="N10" s="4"/>
    </row>
    <row r="11" spans="1:14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30" customHeight="1" x14ac:dyDescent="0.4">
      <c r="A15" s="291" t="s">
        <v>92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</row>
    <row r="16" spans="1:14" ht="30" customHeight="1" x14ac:dyDescent="0.4">
      <c r="A16" s="291" t="s">
        <v>93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</row>
    <row r="17" spans="1:14" ht="30" customHeight="1" x14ac:dyDescent="0.4">
      <c r="A17" s="291" t="s">
        <v>94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</row>
    <row r="18" spans="1:14" ht="24.6" customHeight="1" x14ac:dyDescent="0.35">
      <c r="A18" s="292" t="s">
        <v>95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4" x14ac:dyDescent="0.25">
      <c r="A19" s="5"/>
      <c r="B19" s="5"/>
      <c r="C19" s="5"/>
      <c r="D19" s="5"/>
      <c r="E19" s="293" t="s">
        <v>97</v>
      </c>
      <c r="F19" s="293"/>
      <c r="G19" s="293"/>
      <c r="H19" s="293"/>
      <c r="I19" s="293"/>
      <c r="J19" s="293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</sheetData>
  <mergeCells count="5">
    <mergeCell ref="A15:N15"/>
    <mergeCell ref="A16:N16"/>
    <mergeCell ref="A17:N17"/>
    <mergeCell ref="A18:N18"/>
    <mergeCell ref="E19:J19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23"/>
  <sheetViews>
    <sheetView view="pageLayout" workbookViewId="0"/>
  </sheetViews>
  <sheetFormatPr defaultRowHeight="15" x14ac:dyDescent="0.25"/>
  <cols>
    <col min="2" max="2" width="9.7109375" customWidth="1"/>
  </cols>
  <sheetData>
    <row r="6" spans="1:14" ht="15.75" x14ac:dyDescent="0.25">
      <c r="B6" s="4" t="s">
        <v>87</v>
      </c>
      <c r="C6" s="4"/>
      <c r="D6" s="4"/>
      <c r="E6" s="4"/>
      <c r="F6" s="4"/>
      <c r="G6" s="4"/>
      <c r="H6" s="4"/>
      <c r="I6" s="4"/>
      <c r="J6" s="4"/>
      <c r="K6" s="4" t="s">
        <v>87</v>
      </c>
      <c r="L6" s="4"/>
      <c r="M6" s="4"/>
      <c r="N6" s="4"/>
    </row>
    <row r="7" spans="1:14" ht="15.75" x14ac:dyDescent="0.25">
      <c r="B7" s="4" t="s">
        <v>244</v>
      </c>
      <c r="C7" s="4"/>
      <c r="D7" s="4"/>
      <c r="E7" s="4"/>
      <c r="F7" s="4"/>
      <c r="G7" s="4"/>
      <c r="H7" s="4"/>
      <c r="I7" s="4"/>
      <c r="J7" s="4"/>
      <c r="K7" s="4" t="s">
        <v>375</v>
      </c>
      <c r="L7" s="4"/>
      <c r="M7" s="4"/>
      <c r="N7" s="4"/>
    </row>
    <row r="8" spans="1:14" ht="15.75" x14ac:dyDescent="0.25">
      <c r="B8" s="4" t="s">
        <v>233</v>
      </c>
      <c r="C8" s="4"/>
      <c r="D8" s="4"/>
      <c r="E8" s="4"/>
      <c r="F8" s="4"/>
      <c r="G8" s="4"/>
      <c r="H8" s="4"/>
      <c r="I8" s="4"/>
      <c r="J8" s="4"/>
      <c r="K8" s="4" t="s">
        <v>376</v>
      </c>
      <c r="L8" s="4"/>
      <c r="M8" s="4"/>
      <c r="N8" s="4"/>
    </row>
    <row r="9" spans="1:14" ht="15.75" x14ac:dyDescent="0.25">
      <c r="B9" s="4" t="s">
        <v>274</v>
      </c>
      <c r="C9" s="4"/>
      <c r="D9" s="4"/>
      <c r="E9" s="4"/>
      <c r="F9" s="4"/>
      <c r="G9" s="4"/>
      <c r="H9" s="4"/>
      <c r="I9" s="4"/>
      <c r="J9" s="4"/>
      <c r="K9" s="4" t="s">
        <v>91</v>
      </c>
      <c r="L9" s="4"/>
      <c r="M9" s="4"/>
      <c r="N9" s="4"/>
    </row>
    <row r="10" spans="1:14" ht="15.75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1:14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>
        <v>2019</v>
      </c>
      <c r="H13" s="5"/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5"/>
      <c r="F14" s="191" t="s">
        <v>379</v>
      </c>
      <c r="G14" s="193" t="s">
        <v>383</v>
      </c>
      <c r="H14" s="191"/>
      <c r="I14" s="191"/>
      <c r="J14" s="191"/>
      <c r="K14" s="192"/>
      <c r="L14" s="5"/>
      <c r="M14" s="5"/>
      <c r="N14" s="5"/>
    </row>
    <row r="15" spans="1:14" ht="30" x14ac:dyDescent="0.4">
      <c r="A15" s="291" t="s">
        <v>92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</row>
    <row r="16" spans="1:14" ht="30" x14ac:dyDescent="0.4">
      <c r="A16" s="291" t="s">
        <v>93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</row>
    <row r="17" spans="1:14" ht="30" x14ac:dyDescent="0.4">
      <c r="A17" s="291" t="s">
        <v>94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</row>
    <row r="18" spans="1:14" ht="25.5" x14ac:dyDescent="0.35">
      <c r="A18" s="292" t="s">
        <v>95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4" x14ac:dyDescent="0.25">
      <c r="A19" s="5"/>
      <c r="B19" s="5"/>
      <c r="C19" s="5"/>
      <c r="D19" s="5"/>
      <c r="E19" s="293" t="s">
        <v>97</v>
      </c>
      <c r="F19" s="293"/>
      <c r="G19" s="293"/>
      <c r="H19" s="293"/>
      <c r="I19" s="293"/>
      <c r="J19" s="293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5"/>
      <c r="G20" s="293" t="s">
        <v>382</v>
      </c>
      <c r="H20" s="293"/>
      <c r="I20" s="293"/>
      <c r="J20" s="5"/>
      <c r="K20" s="5"/>
      <c r="L20" s="5"/>
      <c r="M20" s="5"/>
      <c r="N20" s="5"/>
    </row>
    <row r="21" spans="1:14" x14ac:dyDescent="0.25">
      <c r="G21" s="293"/>
      <c r="H21" s="293"/>
      <c r="I21" s="293"/>
    </row>
    <row r="22" spans="1:14" x14ac:dyDescent="0.25">
      <c r="G22" s="293"/>
      <c r="H22" s="293"/>
      <c r="I22" s="293"/>
    </row>
    <row r="23" spans="1:14" x14ac:dyDescent="0.25">
      <c r="G23" s="293"/>
      <c r="H23" s="293"/>
      <c r="I23" s="293"/>
    </row>
  </sheetData>
  <mergeCells count="6">
    <mergeCell ref="G20:I23"/>
    <mergeCell ref="A15:N15"/>
    <mergeCell ref="A16:N16"/>
    <mergeCell ref="A17:N17"/>
    <mergeCell ref="A18:N18"/>
    <mergeCell ref="E19:J1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3"/>
  <sheetViews>
    <sheetView view="pageBreakPreview" zoomScale="68" zoomScaleNormal="75" zoomScaleSheetLayoutView="68" zoomScalePageLayoutView="55" workbookViewId="0">
      <selection activeCell="F428" sqref="F428"/>
    </sheetView>
  </sheetViews>
  <sheetFormatPr defaultColWidth="8.85546875" defaultRowHeight="15" x14ac:dyDescent="0.25"/>
  <cols>
    <col min="1" max="2" width="8.85546875" style="152"/>
    <col min="3" max="3" width="21.140625" style="152" customWidth="1"/>
    <col min="4" max="5" width="12.7109375" style="152" customWidth="1"/>
    <col min="6" max="6" width="11.5703125" style="152" customWidth="1"/>
    <col min="7" max="7" width="13.28515625" style="152" customWidth="1"/>
    <col min="8" max="8" width="13.7109375" style="152" customWidth="1"/>
    <col min="9" max="9" width="15.42578125" style="152" customWidth="1"/>
    <col min="10" max="10" width="11.5703125" style="152" customWidth="1"/>
    <col min="11" max="11" width="6.140625" style="152" customWidth="1"/>
    <col min="12" max="12" width="15.140625" style="152" customWidth="1"/>
    <col min="13" max="13" width="16" style="152" customWidth="1"/>
    <col min="14" max="14" width="15" style="152" customWidth="1"/>
    <col min="15" max="15" width="13" style="152" customWidth="1"/>
    <col min="16" max="16" width="13.5703125" style="152" customWidth="1"/>
    <col min="17" max="17" width="14" style="152" customWidth="1"/>
    <col min="18" max="18" width="14.42578125" style="152" customWidth="1"/>
    <col min="19" max="19" width="11.85546875" style="152" customWidth="1"/>
    <col min="20" max="20" width="14.42578125" style="152" customWidth="1"/>
    <col min="21" max="21" width="13.42578125" style="152" customWidth="1"/>
    <col min="22" max="22" width="12.42578125" style="152" customWidth="1"/>
    <col min="23" max="23" width="12.28515625" style="152" customWidth="1"/>
    <col min="24" max="24" width="14.42578125" style="152" customWidth="1"/>
    <col min="25" max="25" width="11.28515625" style="152" customWidth="1"/>
    <col min="26" max="16384" width="8.85546875" style="152"/>
  </cols>
  <sheetData>
    <row r="1" spans="1:10" ht="34.15" customHeight="1" x14ac:dyDescent="0.25">
      <c r="A1" s="269" t="s">
        <v>0</v>
      </c>
      <c r="B1" s="269"/>
      <c r="C1" s="269"/>
      <c r="D1" s="6" t="s">
        <v>1</v>
      </c>
      <c r="E1" s="6" t="s">
        <v>2</v>
      </c>
      <c r="F1" s="133" t="s">
        <v>3</v>
      </c>
      <c r="G1" s="133" t="s">
        <v>4</v>
      </c>
      <c r="H1" s="133" t="s">
        <v>28</v>
      </c>
      <c r="I1" s="134" t="s">
        <v>75</v>
      </c>
      <c r="J1" s="6" t="s">
        <v>76</v>
      </c>
    </row>
    <row r="2" spans="1:10" x14ac:dyDescent="0.25">
      <c r="A2" s="268" t="s">
        <v>5</v>
      </c>
      <c r="B2" s="268"/>
      <c r="C2" s="268"/>
      <c r="D2" s="268"/>
      <c r="E2" s="268"/>
      <c r="F2" s="268"/>
      <c r="G2" s="268"/>
      <c r="H2" s="268"/>
      <c r="I2" s="268"/>
      <c r="J2" s="268"/>
    </row>
    <row r="3" spans="1:10" x14ac:dyDescent="0.25">
      <c r="A3" s="268" t="s">
        <v>6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x14ac:dyDescent="0.25">
      <c r="A4" s="268" t="s">
        <v>9</v>
      </c>
      <c r="B4" s="268"/>
      <c r="C4" s="268"/>
      <c r="D4" s="268"/>
      <c r="E4" s="268"/>
      <c r="F4" s="268"/>
      <c r="G4" s="268"/>
      <c r="H4" s="268"/>
      <c r="I4" s="268"/>
      <c r="J4" s="8"/>
    </row>
    <row r="5" spans="1:10" ht="19.149999999999999" customHeight="1" x14ac:dyDescent="0.25">
      <c r="A5" s="294" t="s">
        <v>282</v>
      </c>
      <c r="B5" s="294"/>
      <c r="C5" s="294"/>
      <c r="D5" s="135" t="s">
        <v>103</v>
      </c>
      <c r="E5" s="10" t="s">
        <v>143</v>
      </c>
      <c r="F5" s="13">
        <v>1.92</v>
      </c>
      <c r="G5" s="13">
        <v>4.3600000000000003</v>
      </c>
      <c r="H5" s="13">
        <v>12.7</v>
      </c>
      <c r="I5" s="13">
        <v>98.8</v>
      </c>
      <c r="J5" s="25">
        <v>0</v>
      </c>
    </row>
    <row r="6" spans="1:10" ht="26.25" customHeight="1" x14ac:dyDescent="0.25">
      <c r="A6" s="307" t="s">
        <v>27</v>
      </c>
      <c r="B6" s="308"/>
      <c r="C6" s="309"/>
      <c r="D6" s="10">
        <v>200</v>
      </c>
      <c r="E6" s="10" t="s">
        <v>30</v>
      </c>
      <c r="F6" s="11">
        <v>5.84</v>
      </c>
      <c r="G6" s="11">
        <v>5.16</v>
      </c>
      <c r="H6" s="11">
        <v>20.03</v>
      </c>
      <c r="I6" s="11">
        <v>150.83000000000001</v>
      </c>
      <c r="J6" s="25">
        <v>1.82</v>
      </c>
    </row>
    <row r="7" spans="1:10" ht="18.75" customHeight="1" x14ac:dyDescent="0.25">
      <c r="A7" s="307" t="s">
        <v>73</v>
      </c>
      <c r="B7" s="308"/>
      <c r="C7" s="309"/>
      <c r="D7" s="12">
        <v>180</v>
      </c>
      <c r="E7" s="10" t="s">
        <v>199</v>
      </c>
      <c r="F7" s="25">
        <v>0</v>
      </c>
      <c r="G7" s="25">
        <v>0</v>
      </c>
      <c r="H7" s="25">
        <v>9.98</v>
      </c>
      <c r="I7" s="25">
        <v>39.92</v>
      </c>
      <c r="J7" s="25">
        <v>0</v>
      </c>
    </row>
    <row r="8" spans="1:10" x14ac:dyDescent="0.25">
      <c r="A8" s="243" t="s">
        <v>12</v>
      </c>
      <c r="B8" s="244"/>
      <c r="C8" s="245"/>
      <c r="D8" s="10">
        <f>30+D6+D7</f>
        <v>410</v>
      </c>
      <c r="E8" s="10"/>
      <c r="F8" s="133">
        <f>SUM(F5:F7)</f>
        <v>7.76</v>
      </c>
      <c r="G8" s="133">
        <f>SUM(G5:G7)</f>
        <v>9.52</v>
      </c>
      <c r="H8" s="133">
        <f>SUM(H5:H7)</f>
        <v>42.710000000000008</v>
      </c>
      <c r="I8" s="133">
        <f>SUM(I5:I7)</f>
        <v>289.55</v>
      </c>
      <c r="J8" s="133">
        <f>SUM(J5:J7)</f>
        <v>1.82</v>
      </c>
    </row>
    <row r="9" spans="1:10" x14ac:dyDescent="0.25">
      <c r="A9" s="268" t="s">
        <v>8</v>
      </c>
      <c r="B9" s="268"/>
      <c r="C9" s="268"/>
      <c r="D9" s="268"/>
      <c r="E9" s="268"/>
      <c r="F9" s="268"/>
      <c r="G9" s="268"/>
      <c r="H9" s="268"/>
      <c r="I9" s="268"/>
      <c r="J9" s="8"/>
    </row>
    <row r="10" spans="1:10" ht="15" customHeight="1" x14ac:dyDescent="0.25">
      <c r="A10" s="249" t="s">
        <v>61</v>
      </c>
      <c r="B10" s="250"/>
      <c r="C10" s="251"/>
      <c r="D10" s="24">
        <v>180</v>
      </c>
      <c r="E10" s="24" t="s">
        <v>245</v>
      </c>
      <c r="F10" s="25">
        <v>0.9</v>
      </c>
      <c r="G10" s="25">
        <v>0.18</v>
      </c>
      <c r="H10" s="25">
        <v>18.18</v>
      </c>
      <c r="I10" s="25">
        <v>77.94</v>
      </c>
      <c r="J10" s="25">
        <v>3.6</v>
      </c>
    </row>
    <row r="11" spans="1:10" x14ac:dyDescent="0.25">
      <c r="A11" s="249" t="s">
        <v>38</v>
      </c>
      <c r="B11" s="250"/>
      <c r="C11" s="251"/>
      <c r="D11" s="10">
        <v>25</v>
      </c>
      <c r="E11" s="10" t="s">
        <v>77</v>
      </c>
      <c r="F11" s="13">
        <v>1.92</v>
      </c>
      <c r="G11" s="13">
        <v>2.75</v>
      </c>
      <c r="H11" s="13">
        <v>17.75</v>
      </c>
      <c r="I11" s="13">
        <v>103.53</v>
      </c>
      <c r="J11" s="6">
        <v>0</v>
      </c>
    </row>
    <row r="12" spans="1:10" x14ac:dyDescent="0.25">
      <c r="A12" s="243" t="s">
        <v>12</v>
      </c>
      <c r="B12" s="244"/>
      <c r="C12" s="245"/>
      <c r="D12" s="10">
        <f>SUM(D10:D11)</f>
        <v>205</v>
      </c>
      <c r="E12" s="10"/>
      <c r="F12" s="133">
        <f>SUM(F10:F11)</f>
        <v>2.82</v>
      </c>
      <c r="G12" s="133">
        <f>SUM(G10:G11)</f>
        <v>2.93</v>
      </c>
      <c r="H12" s="133">
        <f>SUM(H10:H11)</f>
        <v>35.93</v>
      </c>
      <c r="I12" s="133">
        <f>SUM(I10:I11)</f>
        <v>181.47</v>
      </c>
      <c r="J12" s="133">
        <f>SUM(J10:J11)</f>
        <v>3.6</v>
      </c>
    </row>
    <row r="13" spans="1:10" x14ac:dyDescent="0.25">
      <c r="A13" s="268" t="s">
        <v>11</v>
      </c>
      <c r="B13" s="268"/>
      <c r="C13" s="268"/>
      <c r="D13" s="268"/>
      <c r="E13" s="268"/>
      <c r="F13" s="268"/>
      <c r="G13" s="268"/>
      <c r="H13" s="268"/>
      <c r="I13" s="268"/>
      <c r="J13" s="8"/>
    </row>
    <row r="14" spans="1:10" ht="32.25" customHeight="1" x14ac:dyDescent="0.25">
      <c r="A14" s="301" t="s">
        <v>283</v>
      </c>
      <c r="B14" s="302"/>
      <c r="C14" s="303"/>
      <c r="D14" s="33">
        <v>60</v>
      </c>
      <c r="E14" s="33">
        <v>14.2005</v>
      </c>
      <c r="F14" s="33">
        <v>0.5</v>
      </c>
      <c r="G14" s="33">
        <v>3.4</v>
      </c>
      <c r="H14" s="33">
        <v>1.7</v>
      </c>
      <c r="I14" s="33">
        <v>36</v>
      </c>
      <c r="J14" s="14">
        <v>17</v>
      </c>
    </row>
    <row r="15" spans="1:10" ht="27.75" customHeight="1" x14ac:dyDescent="0.25">
      <c r="A15" s="298" t="s">
        <v>221</v>
      </c>
      <c r="B15" s="299"/>
      <c r="C15" s="300"/>
      <c r="D15" s="10">
        <v>60</v>
      </c>
      <c r="E15" s="10">
        <v>21.200500000000002</v>
      </c>
      <c r="F15" s="13">
        <v>0.8</v>
      </c>
      <c r="G15" s="13">
        <v>3.1</v>
      </c>
      <c r="H15" s="13">
        <v>4.25</v>
      </c>
      <c r="I15" s="13">
        <v>47.65</v>
      </c>
      <c r="J15" s="25">
        <v>5.2</v>
      </c>
    </row>
    <row r="16" spans="1:10" ht="30" customHeight="1" x14ac:dyDescent="0.25">
      <c r="A16" s="270" t="s">
        <v>318</v>
      </c>
      <c r="B16" s="270"/>
      <c r="C16" s="270"/>
      <c r="D16" s="12">
        <v>250</v>
      </c>
      <c r="E16" s="10" t="s">
        <v>280</v>
      </c>
      <c r="F16" s="13">
        <v>6.55</v>
      </c>
      <c r="G16" s="13">
        <v>6.5</v>
      </c>
      <c r="H16" s="13">
        <v>17.399999999999999</v>
      </c>
      <c r="I16" s="13">
        <v>154</v>
      </c>
      <c r="J16" s="10">
        <v>16.5</v>
      </c>
    </row>
    <row r="17" spans="1:10" x14ac:dyDescent="0.25">
      <c r="A17" s="249" t="s">
        <v>284</v>
      </c>
      <c r="B17" s="250"/>
      <c r="C17" s="251"/>
      <c r="D17" s="10">
        <v>220</v>
      </c>
      <c r="E17" s="10">
        <v>166.16</v>
      </c>
      <c r="F17" s="25">
        <v>19.16</v>
      </c>
      <c r="G17" s="25">
        <v>20.87</v>
      </c>
      <c r="H17" s="25">
        <v>27.25</v>
      </c>
      <c r="I17" s="25">
        <v>375.11</v>
      </c>
      <c r="J17" s="25">
        <v>0.96</v>
      </c>
    </row>
    <row r="18" spans="1:10" ht="14.45" customHeight="1" x14ac:dyDescent="0.25">
      <c r="A18" s="250" t="s">
        <v>249</v>
      </c>
      <c r="B18" s="250"/>
      <c r="C18" s="251"/>
      <c r="D18" s="10">
        <v>180</v>
      </c>
      <c r="E18" s="24">
        <v>241.05</v>
      </c>
      <c r="F18" s="13">
        <v>0.14000000000000001</v>
      </c>
      <c r="G18" s="13">
        <v>0.14000000000000001</v>
      </c>
      <c r="H18" s="13">
        <v>15.51</v>
      </c>
      <c r="I18" s="13">
        <v>63.88</v>
      </c>
      <c r="J18" s="6">
        <v>3.6</v>
      </c>
    </row>
    <row r="19" spans="1:10" x14ac:dyDescent="0.25">
      <c r="A19" s="136" t="s">
        <v>23</v>
      </c>
      <c r="B19" s="137"/>
      <c r="C19" s="138"/>
      <c r="D19" s="10">
        <v>45</v>
      </c>
      <c r="E19" s="10" t="s">
        <v>80</v>
      </c>
      <c r="F19" s="13">
        <v>2.75</v>
      </c>
      <c r="G19" s="13">
        <v>0.54</v>
      </c>
      <c r="H19" s="13">
        <v>17.96</v>
      </c>
      <c r="I19" s="13">
        <v>87.66</v>
      </c>
      <c r="J19" s="25">
        <v>0</v>
      </c>
    </row>
    <row r="20" spans="1:10" ht="13.15" customHeight="1" x14ac:dyDescent="0.25">
      <c r="A20" s="136" t="s">
        <v>13</v>
      </c>
      <c r="B20" s="137"/>
      <c r="C20" s="179"/>
      <c r="D20" s="10">
        <v>20</v>
      </c>
      <c r="E20" s="10" t="s">
        <v>79</v>
      </c>
      <c r="F20" s="13">
        <v>1.52</v>
      </c>
      <c r="G20" s="13">
        <v>0.16</v>
      </c>
      <c r="H20" s="13">
        <v>9.84</v>
      </c>
      <c r="I20" s="13">
        <v>46.88</v>
      </c>
      <c r="J20" s="25">
        <v>0</v>
      </c>
    </row>
    <row r="21" spans="1:10" x14ac:dyDescent="0.25">
      <c r="A21" s="178" t="s">
        <v>12</v>
      </c>
      <c r="B21" s="7"/>
      <c r="C21" s="180"/>
      <c r="D21" s="10">
        <f>SUM(D15:D20)</f>
        <v>775</v>
      </c>
      <c r="E21" s="10"/>
      <c r="F21" s="133">
        <f>SUM(F15:F20)</f>
        <v>30.919999999999998</v>
      </c>
      <c r="G21" s="133">
        <f>SUM(G15:G20)</f>
        <v>31.31</v>
      </c>
      <c r="H21" s="133">
        <f>SUM(H15:H20)</f>
        <v>92.210000000000008</v>
      </c>
      <c r="I21" s="133">
        <f>SUM(I15:I20)</f>
        <v>775.18</v>
      </c>
      <c r="J21" s="133">
        <f>SUM(J15:J20)</f>
        <v>26.26</v>
      </c>
    </row>
    <row r="22" spans="1:10" x14ac:dyDescent="0.25">
      <c r="A22" s="268" t="s">
        <v>37</v>
      </c>
      <c r="B22" s="268"/>
      <c r="C22" s="268"/>
      <c r="D22" s="268"/>
      <c r="E22" s="268"/>
      <c r="F22" s="268"/>
      <c r="G22" s="268"/>
      <c r="H22" s="268"/>
      <c r="I22" s="268"/>
      <c r="J22" s="8"/>
    </row>
    <row r="23" spans="1:10" x14ac:dyDescent="0.25">
      <c r="A23" s="240" t="s">
        <v>70</v>
      </c>
      <c r="B23" s="241"/>
      <c r="C23" s="242"/>
      <c r="D23" s="32">
        <v>160</v>
      </c>
      <c r="E23" s="24">
        <v>110.20050000000001</v>
      </c>
      <c r="F23" s="25">
        <v>16.88</v>
      </c>
      <c r="G23" s="25">
        <v>20.69</v>
      </c>
      <c r="H23" s="25">
        <v>3.16</v>
      </c>
      <c r="I23" s="25">
        <v>266.61</v>
      </c>
      <c r="J23" s="25">
        <v>0.6</v>
      </c>
    </row>
    <row r="24" spans="1:10" ht="15.6" customHeight="1" x14ac:dyDescent="0.25">
      <c r="A24" s="249" t="s">
        <v>273</v>
      </c>
      <c r="B24" s="250"/>
      <c r="C24" s="251"/>
      <c r="D24" s="10">
        <v>85</v>
      </c>
      <c r="E24" s="10"/>
      <c r="F24" s="13">
        <v>0.34</v>
      </c>
      <c r="G24" s="13">
        <v>0.34</v>
      </c>
      <c r="H24" s="13">
        <v>8.33</v>
      </c>
      <c r="I24" s="13">
        <v>37.74</v>
      </c>
      <c r="J24" s="8">
        <v>8.5</v>
      </c>
    </row>
    <row r="25" spans="1:10" ht="13.15" customHeight="1" x14ac:dyDescent="0.25">
      <c r="A25" s="249" t="s">
        <v>13</v>
      </c>
      <c r="B25" s="250"/>
      <c r="C25" s="251"/>
      <c r="D25" s="10">
        <v>20</v>
      </c>
      <c r="E25" s="10" t="s">
        <v>81</v>
      </c>
      <c r="F25" s="13">
        <v>1.52</v>
      </c>
      <c r="G25" s="13">
        <v>0.16</v>
      </c>
      <c r="H25" s="13">
        <v>9.84</v>
      </c>
      <c r="I25" s="13">
        <v>46.88</v>
      </c>
      <c r="J25" s="25">
        <v>0</v>
      </c>
    </row>
    <row r="26" spans="1:10" ht="13.15" customHeight="1" x14ac:dyDescent="0.25">
      <c r="A26" s="249" t="s">
        <v>285</v>
      </c>
      <c r="B26" s="250"/>
      <c r="C26" s="251"/>
      <c r="D26" s="10">
        <v>184</v>
      </c>
      <c r="E26" s="10">
        <v>251</v>
      </c>
      <c r="F26" s="13">
        <f>5.22</f>
        <v>5.22</v>
      </c>
      <c r="G26" s="13">
        <v>5.76</v>
      </c>
      <c r="H26" s="13">
        <f>7.2+3.99</f>
        <v>11.190000000000001</v>
      </c>
      <c r="I26" s="13">
        <f>101.52+15.97</f>
        <v>117.49</v>
      </c>
      <c r="J26" s="25">
        <v>1.26</v>
      </c>
    </row>
    <row r="27" spans="1:10" ht="15" customHeight="1" x14ac:dyDescent="0.25">
      <c r="A27" s="243" t="s">
        <v>12</v>
      </c>
      <c r="B27" s="244"/>
      <c r="C27" s="245"/>
      <c r="D27" s="6">
        <f>185+D25+D24+D23</f>
        <v>450</v>
      </c>
      <c r="E27" s="6"/>
      <c r="F27" s="133">
        <f>SUM(F23:F26)</f>
        <v>23.959999999999997</v>
      </c>
      <c r="G27" s="133">
        <f>SUM(G23:G26)</f>
        <v>26.950000000000003</v>
      </c>
      <c r="H27" s="133">
        <f>SUM(H23:H26)</f>
        <v>32.519999999999996</v>
      </c>
      <c r="I27" s="133">
        <f>SUM(I23:I26)</f>
        <v>468.72</v>
      </c>
      <c r="J27" s="133">
        <f>SUM(J23:J26)</f>
        <v>10.36</v>
      </c>
    </row>
    <row r="28" spans="1:10" x14ac:dyDescent="0.25">
      <c r="A28" s="243" t="s">
        <v>14</v>
      </c>
      <c r="B28" s="244"/>
      <c r="C28" s="245"/>
      <c r="D28" s="6"/>
      <c r="E28" s="6"/>
      <c r="F28" s="133">
        <f>F8+F12+F21+F27</f>
        <v>65.459999999999994</v>
      </c>
      <c r="G28" s="133">
        <f>G8+G12+G21+G27</f>
        <v>70.710000000000008</v>
      </c>
      <c r="H28" s="133">
        <f>H8+H12+H21+H27</f>
        <v>203.37</v>
      </c>
      <c r="I28" s="133">
        <f>I8+I12+I21+I27</f>
        <v>1714.9199999999998</v>
      </c>
      <c r="J28" s="133">
        <f>J8+J12+J21+J27</f>
        <v>42.04</v>
      </c>
    </row>
    <row r="29" spans="1:10" ht="42.75" x14ac:dyDescent="0.25">
      <c r="A29" s="269" t="s">
        <v>0</v>
      </c>
      <c r="B29" s="269"/>
      <c r="C29" s="269"/>
      <c r="D29" s="6" t="s">
        <v>1</v>
      </c>
      <c r="E29" s="6" t="s">
        <v>2</v>
      </c>
      <c r="F29" s="133" t="s">
        <v>3</v>
      </c>
      <c r="G29" s="133" t="s">
        <v>4</v>
      </c>
      <c r="H29" s="133" t="s">
        <v>28</v>
      </c>
      <c r="I29" s="134" t="s">
        <v>75</v>
      </c>
      <c r="J29" s="140" t="s">
        <v>83</v>
      </c>
    </row>
    <row r="30" spans="1:10" x14ac:dyDescent="0.25">
      <c r="A30" s="269" t="s">
        <v>5</v>
      </c>
      <c r="B30" s="269"/>
      <c r="C30" s="269"/>
      <c r="D30" s="269"/>
      <c r="E30" s="269"/>
      <c r="F30" s="269"/>
      <c r="G30" s="269"/>
      <c r="H30" s="269"/>
      <c r="I30" s="269"/>
      <c r="J30" s="269"/>
    </row>
    <row r="31" spans="1:10" x14ac:dyDescent="0.25">
      <c r="A31" s="269" t="s">
        <v>15</v>
      </c>
      <c r="B31" s="269"/>
      <c r="C31" s="269"/>
      <c r="D31" s="269"/>
      <c r="E31" s="269"/>
      <c r="F31" s="269"/>
      <c r="G31" s="269"/>
      <c r="H31" s="269"/>
      <c r="I31" s="269"/>
      <c r="J31" s="269"/>
    </row>
    <row r="32" spans="1:10" x14ac:dyDescent="0.25">
      <c r="A32" s="269" t="s">
        <v>9</v>
      </c>
      <c r="B32" s="269"/>
      <c r="C32" s="269"/>
      <c r="D32" s="269"/>
      <c r="E32" s="269"/>
      <c r="F32" s="269"/>
      <c r="G32" s="269"/>
      <c r="H32" s="269"/>
      <c r="I32" s="269"/>
      <c r="J32" s="269"/>
    </row>
    <row r="33" spans="1:10" ht="33.75" customHeight="1" x14ac:dyDescent="0.25">
      <c r="A33" s="298" t="s">
        <v>314</v>
      </c>
      <c r="B33" s="299"/>
      <c r="C33" s="300"/>
      <c r="D33" s="135" t="s">
        <v>202</v>
      </c>
      <c r="E33" s="10" t="s">
        <v>144</v>
      </c>
      <c r="F33" s="13">
        <v>4.68</v>
      </c>
      <c r="G33" s="13">
        <v>7.15</v>
      </c>
      <c r="H33" s="13">
        <v>12.7</v>
      </c>
      <c r="I33" s="13">
        <v>134.97999999999999</v>
      </c>
      <c r="J33" s="14">
        <v>7.0000000000000007E-2</v>
      </c>
    </row>
    <row r="34" spans="1:10" ht="34.5" customHeight="1" x14ac:dyDescent="0.25">
      <c r="A34" s="280" t="s">
        <v>180</v>
      </c>
      <c r="B34" s="280"/>
      <c r="C34" s="280"/>
      <c r="D34" s="10" t="s">
        <v>203</v>
      </c>
      <c r="E34" s="10">
        <v>91.200500000000005</v>
      </c>
      <c r="F34" s="13">
        <v>5.18</v>
      </c>
      <c r="G34" s="13">
        <v>5.85</v>
      </c>
      <c r="H34" s="13">
        <v>27.88</v>
      </c>
      <c r="I34" s="13">
        <v>185.64</v>
      </c>
      <c r="J34" s="10">
        <v>1.39</v>
      </c>
    </row>
    <row r="35" spans="1:10" ht="19.5" customHeight="1" x14ac:dyDescent="0.25">
      <c r="A35" s="249" t="s">
        <v>151</v>
      </c>
      <c r="B35" s="250"/>
      <c r="C35" s="251"/>
      <c r="D35" s="10">
        <v>200</v>
      </c>
      <c r="E35" s="10" t="s">
        <v>152</v>
      </c>
      <c r="F35" s="11">
        <v>5.8</v>
      </c>
      <c r="G35" s="11">
        <v>5</v>
      </c>
      <c r="H35" s="11">
        <v>23.59</v>
      </c>
      <c r="I35" s="11">
        <v>163.99</v>
      </c>
      <c r="J35" s="10">
        <v>2.6</v>
      </c>
    </row>
    <row r="36" spans="1:10" x14ac:dyDescent="0.25">
      <c r="A36" s="243" t="s">
        <v>12</v>
      </c>
      <c r="B36" s="244"/>
      <c r="C36" s="245"/>
      <c r="D36" s="10">
        <f>30+10.5+204+D35</f>
        <v>444.5</v>
      </c>
      <c r="E36" s="10"/>
      <c r="F36" s="133">
        <f>SUM(F33:F35)</f>
        <v>15.66</v>
      </c>
      <c r="G36" s="133">
        <f>SUM(G33:G35)</f>
        <v>18</v>
      </c>
      <c r="H36" s="133">
        <f>SUM(H33:H35)</f>
        <v>64.17</v>
      </c>
      <c r="I36" s="133">
        <f>SUM(I33:I35)</f>
        <v>484.61</v>
      </c>
      <c r="J36" s="133">
        <f>SUM(J33:J35)</f>
        <v>4.0600000000000005</v>
      </c>
    </row>
    <row r="37" spans="1:10" ht="11.45" customHeight="1" x14ac:dyDescent="0.25">
      <c r="A37" s="269" t="s">
        <v>8</v>
      </c>
      <c r="B37" s="269"/>
      <c r="C37" s="269"/>
      <c r="D37" s="269"/>
      <c r="E37" s="269"/>
      <c r="F37" s="269"/>
      <c r="G37" s="269"/>
      <c r="H37" s="269"/>
      <c r="I37" s="269"/>
      <c r="J37" s="6"/>
    </row>
    <row r="38" spans="1:10" x14ac:dyDescent="0.25">
      <c r="A38" s="249" t="s">
        <v>61</v>
      </c>
      <c r="B38" s="250"/>
      <c r="C38" s="251"/>
      <c r="D38" s="24">
        <v>180</v>
      </c>
      <c r="E38" s="24" t="s">
        <v>245</v>
      </c>
      <c r="F38" s="25">
        <v>0.9</v>
      </c>
      <c r="G38" s="25">
        <v>0.18</v>
      </c>
      <c r="H38" s="25">
        <v>18.18</v>
      </c>
      <c r="I38" s="25">
        <v>77.94</v>
      </c>
      <c r="J38" s="25">
        <v>3.6</v>
      </c>
    </row>
    <row r="39" spans="1:10" x14ac:dyDescent="0.25">
      <c r="A39" s="249" t="s">
        <v>38</v>
      </c>
      <c r="B39" s="250"/>
      <c r="C39" s="251"/>
      <c r="D39" s="24">
        <v>20</v>
      </c>
      <c r="E39" s="24"/>
      <c r="F39" s="25">
        <v>1.53</v>
      </c>
      <c r="G39" s="25">
        <v>2.2000000000000002</v>
      </c>
      <c r="H39" s="25">
        <v>14.2</v>
      </c>
      <c r="I39" s="25">
        <v>82.82</v>
      </c>
      <c r="J39" s="25"/>
    </row>
    <row r="40" spans="1:10" x14ac:dyDescent="0.25">
      <c r="A40" s="243" t="s">
        <v>12</v>
      </c>
      <c r="B40" s="244"/>
      <c r="C40" s="245"/>
      <c r="D40" s="10">
        <f>SUM(D38:D39)</f>
        <v>200</v>
      </c>
      <c r="E40" s="10"/>
      <c r="F40" s="133">
        <f>SUM(F38:F39)</f>
        <v>2.4300000000000002</v>
      </c>
      <c r="G40" s="133">
        <f>SUM(G38:G39)</f>
        <v>2.3800000000000003</v>
      </c>
      <c r="H40" s="133">
        <f>SUM(H38:H39)</f>
        <v>32.379999999999995</v>
      </c>
      <c r="I40" s="133">
        <f>SUM(I38:I39)</f>
        <v>160.76</v>
      </c>
      <c r="J40" s="133">
        <f>SUM(J38:J39)</f>
        <v>3.6</v>
      </c>
    </row>
    <row r="41" spans="1:10" x14ac:dyDescent="0.25">
      <c r="A41" s="269" t="s">
        <v>11</v>
      </c>
      <c r="B41" s="269"/>
      <c r="C41" s="269"/>
      <c r="D41" s="269"/>
      <c r="E41" s="269"/>
      <c r="F41" s="269"/>
      <c r="G41" s="269"/>
      <c r="H41" s="269"/>
      <c r="I41" s="269"/>
      <c r="J41" s="6"/>
    </row>
    <row r="42" spans="1:10" x14ac:dyDescent="0.25">
      <c r="A42" s="249" t="s">
        <v>319</v>
      </c>
      <c r="B42" s="250"/>
      <c r="C42" s="251"/>
      <c r="D42" s="24">
        <v>60</v>
      </c>
      <c r="E42" s="24">
        <v>10.050000000000001</v>
      </c>
      <c r="F42" s="24">
        <v>0.68</v>
      </c>
      <c r="G42" s="24">
        <v>4.05</v>
      </c>
      <c r="H42" s="24">
        <v>8.58</v>
      </c>
      <c r="I42" s="24">
        <v>73.44</v>
      </c>
      <c r="J42" s="10">
        <v>2.6</v>
      </c>
    </row>
    <row r="43" spans="1:10" ht="27.75" customHeight="1" x14ac:dyDescent="0.25">
      <c r="A43" s="327" t="s">
        <v>321</v>
      </c>
      <c r="B43" s="327"/>
      <c r="C43" s="327"/>
      <c r="D43" s="139" t="s">
        <v>320</v>
      </c>
      <c r="E43" s="10">
        <v>34.200499999999998</v>
      </c>
      <c r="F43" s="11">
        <f>2.52+0.86</f>
        <v>3.38</v>
      </c>
      <c r="G43" s="11">
        <f>3.74+0.8</f>
        <v>4.54</v>
      </c>
      <c r="H43" s="11">
        <f>17.36+0.04</f>
        <v>17.399999999999999</v>
      </c>
      <c r="I43" s="11">
        <f>108.72+10.8</f>
        <v>119.52</v>
      </c>
      <c r="J43" s="14">
        <f>34.2</f>
        <v>34.200000000000003</v>
      </c>
    </row>
    <row r="44" spans="1:10" ht="26.25" customHeight="1" x14ac:dyDescent="0.25">
      <c r="A44" s="329" t="s">
        <v>377</v>
      </c>
      <c r="B44" s="330"/>
      <c r="C44" s="331"/>
      <c r="D44" s="10">
        <v>80</v>
      </c>
      <c r="E44" s="10">
        <v>275.16000000000003</v>
      </c>
      <c r="F44" s="13">
        <v>16.11</v>
      </c>
      <c r="G44" s="13">
        <v>2.1</v>
      </c>
      <c r="H44" s="13">
        <v>5</v>
      </c>
      <c r="I44" s="11">
        <v>103.18</v>
      </c>
      <c r="J44" s="10">
        <v>4.13</v>
      </c>
    </row>
    <row r="45" spans="1:10" x14ac:dyDescent="0.25">
      <c r="A45" s="266" t="s">
        <v>206</v>
      </c>
      <c r="B45" s="266"/>
      <c r="C45" s="266"/>
      <c r="D45" s="139">
        <v>150</v>
      </c>
      <c r="E45" s="10">
        <v>200.20050000000001</v>
      </c>
      <c r="F45" s="11">
        <v>3.68</v>
      </c>
      <c r="G45" s="11">
        <v>3.76</v>
      </c>
      <c r="H45" s="11">
        <v>35.14</v>
      </c>
      <c r="I45" s="11">
        <v>189</v>
      </c>
      <c r="J45" s="14">
        <v>2.83</v>
      </c>
    </row>
    <row r="46" spans="1:10" x14ac:dyDescent="0.25">
      <c r="A46" s="249" t="s">
        <v>247</v>
      </c>
      <c r="B46" s="250"/>
      <c r="C46" s="251"/>
      <c r="D46" s="24">
        <v>180</v>
      </c>
      <c r="E46" s="24" t="s">
        <v>234</v>
      </c>
      <c r="F46" s="25">
        <v>0.34</v>
      </c>
      <c r="G46" s="25">
        <v>7.0000000000000007E-2</v>
      </c>
      <c r="H46" s="25">
        <v>11.99</v>
      </c>
      <c r="I46" s="25">
        <v>86.66</v>
      </c>
      <c r="J46" s="25">
        <v>0.49</v>
      </c>
    </row>
    <row r="47" spans="1:10" x14ac:dyDescent="0.25">
      <c r="A47" s="249" t="s">
        <v>23</v>
      </c>
      <c r="B47" s="250"/>
      <c r="C47" s="251"/>
      <c r="D47" s="10">
        <v>45</v>
      </c>
      <c r="E47" s="10" t="s">
        <v>80</v>
      </c>
      <c r="F47" s="13">
        <v>2.75</v>
      </c>
      <c r="G47" s="13">
        <v>0.54</v>
      </c>
      <c r="H47" s="13">
        <v>17.96</v>
      </c>
      <c r="I47" s="13">
        <v>87.66</v>
      </c>
      <c r="J47" s="25">
        <v>0</v>
      </c>
    </row>
    <row r="48" spans="1:10" x14ac:dyDescent="0.25">
      <c r="A48" s="249" t="s">
        <v>13</v>
      </c>
      <c r="B48" s="250"/>
      <c r="C48" s="251"/>
      <c r="D48" s="10">
        <v>20</v>
      </c>
      <c r="E48" s="10" t="s">
        <v>81</v>
      </c>
      <c r="F48" s="13">
        <v>1.52</v>
      </c>
      <c r="G48" s="13">
        <v>0.16</v>
      </c>
      <c r="H48" s="13">
        <v>9.84</v>
      </c>
      <c r="I48" s="13">
        <v>46.88</v>
      </c>
      <c r="J48" s="25">
        <v>0</v>
      </c>
    </row>
    <row r="49" spans="1:10" x14ac:dyDescent="0.25">
      <c r="A49" s="243" t="s">
        <v>12</v>
      </c>
      <c r="B49" s="244"/>
      <c r="C49" s="245"/>
      <c r="D49" s="10">
        <f>D48+D47+D46+D45+D44+D42+250+5+10</f>
        <v>800</v>
      </c>
      <c r="E49" s="10"/>
      <c r="F49" s="133">
        <f>SUM(F42:F48)</f>
        <v>28.459999999999997</v>
      </c>
      <c r="G49" s="133">
        <f>SUM(G42:G48)</f>
        <v>15.219999999999999</v>
      </c>
      <c r="H49" s="133">
        <f>SUM(H42:H48)</f>
        <v>105.91</v>
      </c>
      <c r="I49" s="133">
        <f>SUM(I42:I48)</f>
        <v>706.33999999999992</v>
      </c>
      <c r="J49" s="133">
        <f>SUM(J42:J48)</f>
        <v>44.250000000000007</v>
      </c>
    </row>
    <row r="50" spans="1:10" x14ac:dyDescent="0.25">
      <c r="A50" s="268" t="s">
        <v>37</v>
      </c>
      <c r="B50" s="268"/>
      <c r="C50" s="268"/>
      <c r="D50" s="268"/>
      <c r="E50" s="268"/>
      <c r="F50" s="268"/>
      <c r="G50" s="268"/>
      <c r="H50" s="268"/>
      <c r="I50" s="268"/>
      <c r="J50" s="14"/>
    </row>
    <row r="51" spans="1:10" x14ac:dyDescent="0.25">
      <c r="A51" s="280" t="s">
        <v>287</v>
      </c>
      <c r="B51" s="280"/>
      <c r="C51" s="280"/>
      <c r="D51" s="10" t="s">
        <v>288</v>
      </c>
      <c r="E51" s="10">
        <v>245.16</v>
      </c>
      <c r="F51" s="13">
        <f>34.37+0.06</f>
        <v>34.43</v>
      </c>
      <c r="G51" s="13">
        <f>15.76+0</f>
        <v>15.76</v>
      </c>
      <c r="H51" s="13">
        <f>37.7+9.75</f>
        <v>47.45</v>
      </c>
      <c r="I51" s="13">
        <f>430.1+39.24</f>
        <v>469.34000000000003</v>
      </c>
      <c r="J51" s="10">
        <f>0.75+0.08</f>
        <v>0.83</v>
      </c>
    </row>
    <row r="52" spans="1:10" ht="15" customHeight="1" x14ac:dyDescent="0.25">
      <c r="A52" s="249" t="s">
        <v>13</v>
      </c>
      <c r="B52" s="250"/>
      <c r="C52" s="251"/>
      <c r="D52" s="10">
        <v>25</v>
      </c>
      <c r="E52" s="10" t="s">
        <v>81</v>
      </c>
      <c r="F52" s="13">
        <v>1.9</v>
      </c>
      <c r="G52" s="13">
        <v>0.2</v>
      </c>
      <c r="H52" s="13">
        <v>12.3</v>
      </c>
      <c r="I52" s="13">
        <v>58.6</v>
      </c>
      <c r="J52" s="14">
        <v>0.5</v>
      </c>
    </row>
    <row r="53" spans="1:10" x14ac:dyDescent="0.25">
      <c r="A53" s="249" t="s">
        <v>285</v>
      </c>
      <c r="B53" s="250"/>
      <c r="C53" s="251"/>
      <c r="D53" s="10" t="s">
        <v>348</v>
      </c>
      <c r="E53" s="10">
        <v>251</v>
      </c>
      <c r="F53" s="13">
        <f>5.22</f>
        <v>5.22</v>
      </c>
      <c r="G53" s="13">
        <v>5.76</v>
      </c>
      <c r="H53" s="13">
        <f>7.2+3.99</f>
        <v>11.190000000000001</v>
      </c>
      <c r="I53" s="13">
        <f>101.52+15.97</f>
        <v>117.49</v>
      </c>
      <c r="J53" s="25">
        <v>1.26</v>
      </c>
    </row>
    <row r="54" spans="1:10" x14ac:dyDescent="0.25">
      <c r="A54" s="249" t="s">
        <v>273</v>
      </c>
      <c r="B54" s="250"/>
      <c r="C54" s="251"/>
      <c r="D54" s="10">
        <v>75</v>
      </c>
      <c r="E54" s="10"/>
      <c r="F54" s="13">
        <v>0.3</v>
      </c>
      <c r="G54" s="13">
        <v>0.3</v>
      </c>
      <c r="H54" s="13">
        <v>7.35</v>
      </c>
      <c r="I54" s="13">
        <v>33.299999999999997</v>
      </c>
      <c r="J54" s="14">
        <v>7.5</v>
      </c>
    </row>
    <row r="55" spans="1:10" ht="13.5" customHeight="1" x14ac:dyDescent="0.25">
      <c r="A55" s="277" t="s">
        <v>12</v>
      </c>
      <c r="B55" s="278"/>
      <c r="C55" s="279"/>
      <c r="D55" s="14">
        <f>165+D52+D112+D54</f>
        <v>465</v>
      </c>
      <c r="E55" s="14"/>
      <c r="F55" s="11">
        <f>SUM(F51:F54)</f>
        <v>41.849999999999994</v>
      </c>
      <c r="G55" s="11">
        <f>SUM(G51:G54)</f>
        <v>22.02</v>
      </c>
      <c r="H55" s="11">
        <f>SUM(H51:H54)</f>
        <v>78.289999999999992</v>
      </c>
      <c r="I55" s="11">
        <f>SUM(I51:I54)</f>
        <v>678.73</v>
      </c>
      <c r="J55" s="11">
        <f>SUM(J51:J54)</f>
        <v>10.09</v>
      </c>
    </row>
    <row r="56" spans="1:10" ht="26.45" customHeight="1" x14ac:dyDescent="0.25">
      <c r="A56" s="237" t="s">
        <v>14</v>
      </c>
      <c r="B56" s="238"/>
      <c r="C56" s="239"/>
      <c r="D56" s="8"/>
      <c r="E56" s="8"/>
      <c r="F56" s="9">
        <f>F36+F40+F49+F55</f>
        <v>88.399999999999991</v>
      </c>
      <c r="G56" s="9">
        <f>G36+G40+G49+G55</f>
        <v>57.61999999999999</v>
      </c>
      <c r="H56" s="9">
        <f>H36+H40+H49+H55</f>
        <v>280.75</v>
      </c>
      <c r="I56" s="9">
        <f>I36+I40+I49+I55</f>
        <v>2030.44</v>
      </c>
      <c r="J56" s="9">
        <f>J36+J40+J49+J55</f>
        <v>62.000000000000014</v>
      </c>
    </row>
    <row r="58" spans="1:10" ht="42.75" x14ac:dyDescent="0.25">
      <c r="A58" s="269" t="s">
        <v>0</v>
      </c>
      <c r="B58" s="269"/>
      <c r="C58" s="269"/>
      <c r="D58" s="6" t="s">
        <v>1</v>
      </c>
      <c r="E58" s="6" t="s">
        <v>2</v>
      </c>
      <c r="F58" s="133" t="s">
        <v>3</v>
      </c>
      <c r="G58" s="133" t="s">
        <v>4</v>
      </c>
      <c r="H58" s="133" t="s">
        <v>28</v>
      </c>
      <c r="I58" s="134" t="s">
        <v>75</v>
      </c>
      <c r="J58" s="6" t="s">
        <v>76</v>
      </c>
    </row>
    <row r="59" spans="1:10" x14ac:dyDescent="0.25">
      <c r="A59" s="269" t="s">
        <v>5</v>
      </c>
      <c r="B59" s="269"/>
      <c r="C59" s="269"/>
      <c r="D59" s="269"/>
      <c r="E59" s="269"/>
      <c r="F59" s="269"/>
      <c r="G59" s="269"/>
      <c r="H59" s="269"/>
      <c r="I59" s="269"/>
      <c r="J59" s="269"/>
    </row>
    <row r="60" spans="1:10" x14ac:dyDescent="0.25">
      <c r="A60" s="269" t="s">
        <v>17</v>
      </c>
      <c r="B60" s="269"/>
      <c r="C60" s="269"/>
      <c r="D60" s="269"/>
      <c r="E60" s="269"/>
      <c r="F60" s="269"/>
      <c r="G60" s="269"/>
      <c r="H60" s="269"/>
      <c r="I60" s="269"/>
      <c r="J60" s="269"/>
    </row>
    <row r="61" spans="1:10" x14ac:dyDescent="0.25">
      <c r="A61" s="269" t="s">
        <v>9</v>
      </c>
      <c r="B61" s="269"/>
      <c r="C61" s="269"/>
      <c r="D61" s="269"/>
      <c r="E61" s="269"/>
      <c r="F61" s="269"/>
      <c r="G61" s="269"/>
      <c r="H61" s="269"/>
      <c r="I61" s="269"/>
      <c r="J61" s="269"/>
    </row>
    <row r="62" spans="1:10" x14ac:dyDescent="0.25">
      <c r="A62" s="294" t="s">
        <v>315</v>
      </c>
      <c r="B62" s="294"/>
      <c r="C62" s="294"/>
      <c r="D62" s="135" t="s">
        <v>103</v>
      </c>
      <c r="E62" s="10" t="s">
        <v>143</v>
      </c>
      <c r="F62" s="13">
        <v>1.92</v>
      </c>
      <c r="G62" s="13">
        <v>4.3600000000000003</v>
      </c>
      <c r="H62" s="13">
        <v>12.7</v>
      </c>
      <c r="I62" s="13">
        <v>98.8</v>
      </c>
      <c r="J62" s="25">
        <v>0</v>
      </c>
    </row>
    <row r="63" spans="1:10" ht="34.5" customHeight="1" x14ac:dyDescent="0.25">
      <c r="A63" s="280" t="s">
        <v>207</v>
      </c>
      <c r="B63" s="280"/>
      <c r="C63" s="280"/>
      <c r="D63" s="10" t="s">
        <v>203</v>
      </c>
      <c r="E63" s="10" t="s">
        <v>347</v>
      </c>
      <c r="F63" s="13">
        <v>5.68</v>
      </c>
      <c r="G63" s="13">
        <v>5.8</v>
      </c>
      <c r="H63" s="13">
        <v>27.78</v>
      </c>
      <c r="I63" s="13">
        <v>186.79</v>
      </c>
      <c r="J63" s="10">
        <v>1.38</v>
      </c>
    </row>
    <row r="64" spans="1:10" x14ac:dyDescent="0.25">
      <c r="A64" s="249" t="s">
        <v>22</v>
      </c>
      <c r="B64" s="250"/>
      <c r="C64" s="251"/>
      <c r="D64" s="24">
        <v>180</v>
      </c>
      <c r="E64" s="24" t="s">
        <v>246</v>
      </c>
      <c r="F64" s="13">
        <v>1.22</v>
      </c>
      <c r="G64" s="13">
        <v>1.05</v>
      </c>
      <c r="H64" s="13">
        <v>12.01</v>
      </c>
      <c r="I64" s="13">
        <v>62.65</v>
      </c>
      <c r="J64" s="14">
        <v>0.55000000000000004</v>
      </c>
    </row>
    <row r="65" spans="1:10" x14ac:dyDescent="0.25">
      <c r="A65" s="243" t="s">
        <v>12</v>
      </c>
      <c r="B65" s="244"/>
      <c r="C65" s="245"/>
      <c r="D65" s="10">
        <f>D64+204+30</f>
        <v>414</v>
      </c>
      <c r="E65" s="10"/>
      <c r="F65" s="133">
        <f>SUM(F62:F64)</f>
        <v>8.82</v>
      </c>
      <c r="G65" s="133">
        <f>SUM(G62:G64)</f>
        <v>11.21</v>
      </c>
      <c r="H65" s="133">
        <f>SUM(H62:H64)</f>
        <v>52.49</v>
      </c>
      <c r="I65" s="133">
        <f>SUM(I62:I64)</f>
        <v>348.23999999999995</v>
      </c>
      <c r="J65" s="133">
        <f>SUM(J62:J64)</f>
        <v>1.93</v>
      </c>
    </row>
    <row r="66" spans="1:10" x14ac:dyDescent="0.25">
      <c r="A66" s="269" t="s">
        <v>8</v>
      </c>
      <c r="B66" s="269"/>
      <c r="C66" s="269"/>
      <c r="D66" s="269"/>
      <c r="E66" s="269"/>
      <c r="F66" s="269"/>
      <c r="G66" s="269"/>
      <c r="H66" s="269"/>
      <c r="I66" s="269"/>
      <c r="J66" s="10"/>
    </row>
    <row r="67" spans="1:10" ht="14.45" customHeight="1" x14ac:dyDescent="0.25">
      <c r="A67" s="266" t="s">
        <v>39</v>
      </c>
      <c r="B67" s="266"/>
      <c r="C67" s="266"/>
      <c r="D67" s="14">
        <v>75</v>
      </c>
      <c r="E67" s="10" t="s">
        <v>77</v>
      </c>
      <c r="F67" s="13">
        <v>0.3</v>
      </c>
      <c r="G67" s="13">
        <v>0.3</v>
      </c>
      <c r="H67" s="13">
        <v>7.35</v>
      </c>
      <c r="I67" s="13">
        <v>33.299999999999997</v>
      </c>
      <c r="J67" s="25">
        <v>7.5</v>
      </c>
    </row>
    <row r="68" spans="1:10" x14ac:dyDescent="0.25">
      <c r="A68" s="243" t="s">
        <v>12</v>
      </c>
      <c r="B68" s="244"/>
      <c r="C68" s="245"/>
      <c r="D68" s="10">
        <f>SUM(D67)</f>
        <v>75</v>
      </c>
      <c r="E68" s="10"/>
      <c r="F68" s="133">
        <f>SUM(F67:F67)</f>
        <v>0.3</v>
      </c>
      <c r="G68" s="133">
        <f>SUM(G67:G67)</f>
        <v>0.3</v>
      </c>
      <c r="H68" s="133">
        <f>SUM(H67:H67)</f>
        <v>7.35</v>
      </c>
      <c r="I68" s="133">
        <f>SUM(I67:I67)</f>
        <v>33.299999999999997</v>
      </c>
      <c r="J68" s="6">
        <f>SUM(J67:J67)</f>
        <v>7.5</v>
      </c>
    </row>
    <row r="69" spans="1:10" x14ac:dyDescent="0.25">
      <c r="A69" s="269" t="s">
        <v>11</v>
      </c>
      <c r="B69" s="269"/>
      <c r="C69" s="269"/>
      <c r="D69" s="269"/>
      <c r="E69" s="269"/>
      <c r="F69" s="269"/>
      <c r="G69" s="269"/>
      <c r="H69" s="269"/>
      <c r="I69" s="269"/>
      <c r="J69" s="6"/>
    </row>
    <row r="70" spans="1:10" ht="21" customHeight="1" x14ac:dyDescent="0.25">
      <c r="A70" s="298" t="s">
        <v>209</v>
      </c>
      <c r="B70" s="299"/>
      <c r="C70" s="300"/>
      <c r="D70" s="24">
        <v>60</v>
      </c>
      <c r="E70" s="24">
        <v>5.2004999999999999</v>
      </c>
      <c r="F70" s="24">
        <v>0.86</v>
      </c>
      <c r="G70" s="24">
        <v>4</v>
      </c>
      <c r="H70" s="24">
        <v>4.2</v>
      </c>
      <c r="I70" s="24">
        <v>56.59</v>
      </c>
      <c r="J70" s="10">
        <v>36</v>
      </c>
    </row>
    <row r="71" spans="1:10" x14ac:dyDescent="0.25">
      <c r="A71" s="280" t="s">
        <v>322</v>
      </c>
      <c r="B71" s="280"/>
      <c r="C71" s="280"/>
      <c r="D71" s="24">
        <v>60</v>
      </c>
      <c r="E71" s="24">
        <v>78.040000000000006</v>
      </c>
      <c r="F71" s="25">
        <v>0.74</v>
      </c>
      <c r="G71" s="25">
        <v>2.0699999999999998</v>
      </c>
      <c r="H71" s="25">
        <v>4.7</v>
      </c>
      <c r="I71" s="25">
        <v>30.34</v>
      </c>
      <c r="J71" s="25">
        <v>3.23</v>
      </c>
    </row>
    <row r="72" spans="1:10" ht="30" customHeight="1" x14ac:dyDescent="0.25">
      <c r="A72" s="307" t="s">
        <v>157</v>
      </c>
      <c r="B72" s="308"/>
      <c r="C72" s="309"/>
      <c r="D72" s="10" t="s">
        <v>155</v>
      </c>
      <c r="E72" s="10">
        <v>36.200499999999998</v>
      </c>
      <c r="F72" s="13">
        <v>8.27</v>
      </c>
      <c r="G72" s="13">
        <v>6.2</v>
      </c>
      <c r="H72" s="13">
        <v>19.5</v>
      </c>
      <c r="I72" s="11">
        <v>166</v>
      </c>
      <c r="J72" s="10">
        <v>11.75</v>
      </c>
    </row>
    <row r="73" spans="1:10" x14ac:dyDescent="0.25">
      <c r="A73" s="249" t="s">
        <v>133</v>
      </c>
      <c r="B73" s="250"/>
      <c r="C73" s="251"/>
      <c r="D73" s="149">
        <v>237.5</v>
      </c>
      <c r="E73" s="24" t="s">
        <v>134</v>
      </c>
      <c r="F73" s="13">
        <v>14.49</v>
      </c>
      <c r="G73" s="13">
        <v>13.78</v>
      </c>
      <c r="H73" s="13">
        <v>26</v>
      </c>
      <c r="I73" s="13">
        <v>283.79000000000002</v>
      </c>
      <c r="J73" s="25">
        <v>32.058999999999997</v>
      </c>
    </row>
    <row r="74" spans="1:10" x14ac:dyDescent="0.25">
      <c r="A74" s="295" t="s">
        <v>323</v>
      </c>
      <c r="B74" s="296"/>
      <c r="C74" s="297"/>
      <c r="D74" s="24">
        <v>180</v>
      </c>
      <c r="E74" s="24">
        <v>394.16</v>
      </c>
      <c r="F74" s="25">
        <v>0.28999999999999998</v>
      </c>
      <c r="G74" s="25">
        <v>0.06</v>
      </c>
      <c r="H74" s="25">
        <v>20.14</v>
      </c>
      <c r="I74" s="25">
        <v>82.24</v>
      </c>
      <c r="J74" s="25" t="s">
        <v>77</v>
      </c>
    </row>
    <row r="75" spans="1:10" x14ac:dyDescent="0.25">
      <c r="A75" s="136" t="s">
        <v>23</v>
      </c>
      <c r="B75" s="137"/>
      <c r="C75" s="138"/>
      <c r="D75" s="10">
        <v>45</v>
      </c>
      <c r="E75" s="10" t="s">
        <v>80</v>
      </c>
      <c r="F75" s="13">
        <v>2.75</v>
      </c>
      <c r="G75" s="13">
        <v>0.54</v>
      </c>
      <c r="H75" s="13">
        <v>17.96</v>
      </c>
      <c r="I75" s="13">
        <v>87.66</v>
      </c>
      <c r="J75" s="25">
        <v>0</v>
      </c>
    </row>
    <row r="76" spans="1:10" x14ac:dyDescent="0.25">
      <c r="A76" s="249" t="s">
        <v>13</v>
      </c>
      <c r="B76" s="250"/>
      <c r="C76" s="251"/>
      <c r="D76" s="10">
        <v>15</v>
      </c>
      <c r="E76" s="10" t="s">
        <v>79</v>
      </c>
      <c r="F76" s="13">
        <v>1.1399999999999999</v>
      </c>
      <c r="G76" s="13">
        <v>0.12</v>
      </c>
      <c r="H76" s="13">
        <v>7.38</v>
      </c>
      <c r="I76" s="13">
        <v>35.159999999999997</v>
      </c>
      <c r="J76" s="6">
        <v>0</v>
      </c>
    </row>
    <row r="77" spans="1:10" x14ac:dyDescent="0.25">
      <c r="A77" s="237" t="s">
        <v>12</v>
      </c>
      <c r="B77" s="238"/>
      <c r="C77" s="239"/>
      <c r="D77" s="14">
        <f>D71+260+D73+D74+D75+D76</f>
        <v>797.5</v>
      </c>
      <c r="E77" s="14"/>
      <c r="F77" s="9">
        <f>SUM(F71:F76)</f>
        <v>27.68</v>
      </c>
      <c r="G77" s="9">
        <f>SUM(G71:G76)</f>
        <v>22.769999999999996</v>
      </c>
      <c r="H77" s="9">
        <f>SUM(H71:H76)</f>
        <v>95.68</v>
      </c>
      <c r="I77" s="9">
        <f>SUM(I71:I76)</f>
        <v>685.18999999999994</v>
      </c>
      <c r="J77" s="10">
        <f>SUM(J71:J76)</f>
        <v>47.039000000000001</v>
      </c>
    </row>
    <row r="78" spans="1:10" ht="12.6" customHeight="1" x14ac:dyDescent="0.25">
      <c r="A78" s="268" t="s">
        <v>37</v>
      </c>
      <c r="B78" s="268"/>
      <c r="C78" s="268"/>
      <c r="D78" s="268"/>
      <c r="E78" s="268"/>
      <c r="F78" s="268"/>
      <c r="G78" s="268"/>
      <c r="H78" s="268"/>
      <c r="I78" s="268"/>
      <c r="J78" s="10"/>
    </row>
    <row r="79" spans="1:10" ht="13.9" customHeight="1" x14ac:dyDescent="0.25">
      <c r="A79" s="252" t="s">
        <v>201</v>
      </c>
      <c r="B79" s="252"/>
      <c r="C79" s="252"/>
      <c r="D79" s="12">
        <v>170</v>
      </c>
      <c r="E79" s="24">
        <v>541.20050000000003</v>
      </c>
      <c r="F79" s="25">
        <v>2.77</v>
      </c>
      <c r="G79" s="25">
        <v>4.04</v>
      </c>
      <c r="H79" s="25">
        <v>16.510000000000002</v>
      </c>
      <c r="I79" s="25">
        <v>113.9</v>
      </c>
      <c r="J79" s="25">
        <v>47.55</v>
      </c>
    </row>
    <row r="80" spans="1:10" ht="13.9" customHeight="1" x14ac:dyDescent="0.25">
      <c r="A80" s="249" t="s">
        <v>13</v>
      </c>
      <c r="B80" s="250"/>
      <c r="C80" s="251"/>
      <c r="D80" s="10">
        <v>25</v>
      </c>
      <c r="E80" s="10" t="s">
        <v>79</v>
      </c>
      <c r="F80" s="13">
        <v>1.9</v>
      </c>
      <c r="G80" s="13">
        <v>0.2</v>
      </c>
      <c r="H80" s="13">
        <v>12.3</v>
      </c>
      <c r="I80" s="13">
        <v>58.6</v>
      </c>
      <c r="J80" s="6">
        <v>0</v>
      </c>
    </row>
    <row r="81" spans="1:10" ht="13.9" customHeight="1" x14ac:dyDescent="0.25">
      <c r="A81" s="249" t="s">
        <v>290</v>
      </c>
      <c r="B81" s="250"/>
      <c r="C81" s="251"/>
      <c r="D81" s="10">
        <v>80</v>
      </c>
      <c r="E81" s="10">
        <v>453.16</v>
      </c>
      <c r="F81" s="13">
        <v>5.54</v>
      </c>
      <c r="G81" s="13">
        <v>7.21</v>
      </c>
      <c r="H81" s="13">
        <v>45.41</v>
      </c>
      <c r="I81" s="13">
        <v>268.63</v>
      </c>
      <c r="J81" s="6">
        <v>0</v>
      </c>
    </row>
    <row r="82" spans="1:10" ht="15" customHeight="1" x14ac:dyDescent="0.25">
      <c r="A82" s="249" t="s">
        <v>285</v>
      </c>
      <c r="B82" s="250"/>
      <c r="C82" s="251"/>
      <c r="D82" s="10" t="s">
        <v>348</v>
      </c>
      <c r="E82" s="10">
        <v>251</v>
      </c>
      <c r="F82" s="13">
        <f>5.22</f>
        <v>5.22</v>
      </c>
      <c r="G82" s="13">
        <v>5.76</v>
      </c>
      <c r="H82" s="13">
        <f>7.2+3.99</f>
        <v>11.190000000000001</v>
      </c>
      <c r="I82" s="13">
        <f>101.52+15.97</f>
        <v>117.49</v>
      </c>
      <c r="J82" s="25">
        <v>1.26</v>
      </c>
    </row>
    <row r="83" spans="1:10" x14ac:dyDescent="0.25">
      <c r="A83" s="243" t="s">
        <v>12</v>
      </c>
      <c r="B83" s="244"/>
      <c r="C83" s="245"/>
      <c r="D83" s="6">
        <f>185+D81+D80+D79</f>
        <v>460</v>
      </c>
      <c r="E83" s="6"/>
      <c r="F83" s="133">
        <f>SUM(F79:F82)</f>
        <v>15.43</v>
      </c>
      <c r="G83" s="133">
        <f>SUM(G79:G82)</f>
        <v>17.21</v>
      </c>
      <c r="H83" s="133">
        <f>SUM(H79:H82)</f>
        <v>85.41</v>
      </c>
      <c r="I83" s="133">
        <f>SUM(I79:I82)</f>
        <v>558.62</v>
      </c>
      <c r="J83" s="6">
        <f>SUM(J79:J82)</f>
        <v>48.809999999999995</v>
      </c>
    </row>
    <row r="84" spans="1:10" ht="23.25" customHeight="1" x14ac:dyDescent="0.25">
      <c r="A84" s="243" t="s">
        <v>14</v>
      </c>
      <c r="B84" s="244"/>
      <c r="C84" s="245"/>
      <c r="D84" s="6"/>
      <c r="E84" s="6"/>
      <c r="F84" s="133">
        <f>F65+F68+F77+F83</f>
        <v>52.23</v>
      </c>
      <c r="G84" s="133">
        <f>G65+G68+G77+G83</f>
        <v>51.49</v>
      </c>
      <c r="H84" s="133">
        <f>H65+H68+H77+H83</f>
        <v>240.93</v>
      </c>
      <c r="I84" s="133">
        <f>I65+I68+I77+I83</f>
        <v>1625.35</v>
      </c>
      <c r="J84" s="133">
        <f>J65+J68+J77+J83</f>
        <v>105.279</v>
      </c>
    </row>
    <row r="87" spans="1:10" ht="29.45" customHeight="1" x14ac:dyDescent="0.25">
      <c r="A87" s="269" t="s">
        <v>0</v>
      </c>
      <c r="B87" s="269"/>
      <c r="C87" s="269"/>
      <c r="D87" s="6" t="s">
        <v>1</v>
      </c>
      <c r="E87" s="6" t="s">
        <v>2</v>
      </c>
      <c r="F87" s="133" t="s">
        <v>3</v>
      </c>
      <c r="G87" s="133" t="s">
        <v>4</v>
      </c>
      <c r="H87" s="133" t="s">
        <v>28</v>
      </c>
      <c r="I87" s="134" t="s">
        <v>75</v>
      </c>
      <c r="J87" s="6" t="s">
        <v>76</v>
      </c>
    </row>
    <row r="88" spans="1:10" x14ac:dyDescent="0.25">
      <c r="A88" s="268" t="s">
        <v>5</v>
      </c>
      <c r="B88" s="268"/>
      <c r="C88" s="268"/>
      <c r="D88" s="268"/>
      <c r="E88" s="268"/>
      <c r="F88" s="268"/>
      <c r="G88" s="268"/>
      <c r="H88" s="268"/>
      <c r="I88" s="268"/>
      <c r="J88" s="268"/>
    </row>
    <row r="89" spans="1:10" x14ac:dyDescent="0.25">
      <c r="A89" s="268" t="s">
        <v>18</v>
      </c>
      <c r="B89" s="268"/>
      <c r="C89" s="268"/>
      <c r="D89" s="268"/>
      <c r="E89" s="268"/>
      <c r="F89" s="268"/>
      <c r="G89" s="268"/>
      <c r="H89" s="268"/>
      <c r="I89" s="268"/>
      <c r="J89" s="268"/>
    </row>
    <row r="90" spans="1:10" x14ac:dyDescent="0.25">
      <c r="A90" s="268" t="s">
        <v>9</v>
      </c>
      <c r="B90" s="268"/>
      <c r="C90" s="268"/>
      <c r="D90" s="268"/>
      <c r="E90" s="268"/>
      <c r="F90" s="268"/>
      <c r="G90" s="268"/>
      <c r="H90" s="268"/>
      <c r="I90" s="268"/>
      <c r="J90" s="268"/>
    </row>
    <row r="91" spans="1:10" x14ac:dyDescent="0.25">
      <c r="A91" s="294" t="s">
        <v>282</v>
      </c>
      <c r="B91" s="294"/>
      <c r="C91" s="294"/>
      <c r="D91" s="135" t="s">
        <v>103</v>
      </c>
      <c r="E91" s="10" t="s">
        <v>143</v>
      </c>
      <c r="F91" s="13">
        <v>1.92</v>
      </c>
      <c r="G91" s="13">
        <v>4.3600000000000003</v>
      </c>
      <c r="H91" s="13">
        <v>12.7</v>
      </c>
      <c r="I91" s="13">
        <v>98.8</v>
      </c>
      <c r="J91" s="25">
        <v>0</v>
      </c>
    </row>
    <row r="92" spans="1:10" ht="27.75" customHeight="1" x14ac:dyDescent="0.25">
      <c r="A92" s="270" t="s">
        <v>187</v>
      </c>
      <c r="B92" s="270"/>
      <c r="C92" s="270"/>
      <c r="D92" s="24" t="s">
        <v>203</v>
      </c>
      <c r="E92" s="24">
        <v>99.200500000000005</v>
      </c>
      <c r="F92" s="25">
        <v>5.43</v>
      </c>
      <c r="G92" s="25">
        <v>5.73</v>
      </c>
      <c r="H92" s="25">
        <v>26.19</v>
      </c>
      <c r="I92" s="25">
        <v>178.73</v>
      </c>
      <c r="J92" s="25">
        <v>1.3</v>
      </c>
    </row>
    <row r="93" spans="1:10" x14ac:dyDescent="0.25">
      <c r="A93" s="310" t="s">
        <v>153</v>
      </c>
      <c r="B93" s="310"/>
      <c r="C93" s="310"/>
      <c r="D93" s="65">
        <v>180</v>
      </c>
      <c r="E93" s="58" t="s">
        <v>154</v>
      </c>
      <c r="F93" s="13">
        <v>6.32</v>
      </c>
      <c r="G93" s="13">
        <v>5.29</v>
      </c>
      <c r="H93" s="13">
        <v>21.62</v>
      </c>
      <c r="I93" s="11">
        <v>160.57</v>
      </c>
      <c r="J93" s="58">
        <v>2.54</v>
      </c>
    </row>
    <row r="94" spans="1:10" x14ac:dyDescent="0.25">
      <c r="A94" s="243" t="s">
        <v>12</v>
      </c>
      <c r="B94" s="244"/>
      <c r="C94" s="245"/>
      <c r="D94" s="10">
        <f>30+204+D93</f>
        <v>414</v>
      </c>
      <c r="E94" s="10"/>
      <c r="F94" s="133">
        <f>SUM(F91:F93)</f>
        <v>13.67</v>
      </c>
      <c r="G94" s="133">
        <f>SUM(G91:G93)</f>
        <v>15.379999999999999</v>
      </c>
      <c r="H94" s="133">
        <f>SUM(H91:H93)</f>
        <v>60.510000000000005</v>
      </c>
      <c r="I94" s="133">
        <f>SUM(I91:I93)</f>
        <v>438.09999999999997</v>
      </c>
      <c r="J94" s="133">
        <f>SUM(J91:J93)</f>
        <v>3.84</v>
      </c>
    </row>
    <row r="95" spans="1:10" x14ac:dyDescent="0.25">
      <c r="A95" s="269" t="s">
        <v>8</v>
      </c>
      <c r="B95" s="269"/>
      <c r="C95" s="269"/>
      <c r="D95" s="269"/>
      <c r="E95" s="269"/>
      <c r="F95" s="269"/>
      <c r="G95" s="269"/>
      <c r="H95" s="269"/>
      <c r="I95" s="269"/>
      <c r="J95" s="6"/>
    </row>
    <row r="96" spans="1:10" x14ac:dyDescent="0.25">
      <c r="A96" s="181"/>
      <c r="B96" s="182"/>
      <c r="C96" s="183"/>
      <c r="D96" s="172"/>
      <c r="E96" s="172"/>
      <c r="F96" s="172"/>
      <c r="G96" s="172"/>
      <c r="H96" s="172"/>
      <c r="I96" s="172"/>
      <c r="J96" s="6"/>
    </row>
    <row r="97" spans="1:10" x14ac:dyDescent="0.25">
      <c r="A97" s="249" t="s">
        <v>61</v>
      </c>
      <c r="B97" s="250"/>
      <c r="C97" s="251"/>
      <c r="D97" s="24">
        <v>180</v>
      </c>
      <c r="E97" s="24" t="s">
        <v>245</v>
      </c>
      <c r="F97" s="25">
        <v>0.9</v>
      </c>
      <c r="G97" s="25">
        <v>0.18</v>
      </c>
      <c r="H97" s="25">
        <v>18.18</v>
      </c>
      <c r="I97" s="25">
        <v>77.94</v>
      </c>
      <c r="J97" s="25">
        <v>3.6</v>
      </c>
    </row>
    <row r="98" spans="1:10" x14ac:dyDescent="0.25">
      <c r="A98" s="249" t="s">
        <v>289</v>
      </c>
      <c r="B98" s="250"/>
      <c r="C98" s="251"/>
      <c r="D98" s="24">
        <v>20</v>
      </c>
      <c r="E98" s="24"/>
      <c r="F98" s="25">
        <v>1.53</v>
      </c>
      <c r="G98" s="25">
        <v>2.2000000000000002</v>
      </c>
      <c r="H98" s="25">
        <v>14.2</v>
      </c>
      <c r="I98" s="25">
        <v>82.82</v>
      </c>
      <c r="J98" s="25" t="s">
        <v>77</v>
      </c>
    </row>
    <row r="99" spans="1:10" x14ac:dyDescent="0.25">
      <c r="A99" s="243" t="s">
        <v>12</v>
      </c>
      <c r="B99" s="244"/>
      <c r="C99" s="245"/>
      <c r="D99" s="10">
        <f>SUM(D97:D98)</f>
        <v>200</v>
      </c>
      <c r="E99" s="10"/>
      <c r="F99" s="13">
        <f>SUM(F97:F98)</f>
        <v>2.4300000000000002</v>
      </c>
      <c r="G99" s="13">
        <f>SUM(G97:G98)</f>
        <v>2.3800000000000003</v>
      </c>
      <c r="H99" s="13">
        <f>SUM(H97:H98)</f>
        <v>32.379999999999995</v>
      </c>
      <c r="I99" s="13">
        <f>SUM(I97:I98)</f>
        <v>160.76</v>
      </c>
      <c r="J99" s="13">
        <f>SUM(J97:J98)</f>
        <v>3.6</v>
      </c>
    </row>
    <row r="100" spans="1:10" x14ac:dyDescent="0.25">
      <c r="A100" s="268" t="s">
        <v>11</v>
      </c>
      <c r="B100" s="268"/>
      <c r="C100" s="268"/>
      <c r="D100" s="268"/>
      <c r="E100" s="268"/>
      <c r="F100" s="268"/>
      <c r="G100" s="268"/>
      <c r="H100" s="268"/>
      <c r="I100" s="268"/>
      <c r="J100" s="10"/>
    </row>
    <row r="101" spans="1:10" x14ac:dyDescent="0.25">
      <c r="A101" s="277" t="s">
        <v>291</v>
      </c>
      <c r="B101" s="278"/>
      <c r="C101" s="279"/>
      <c r="D101" s="14">
        <v>60</v>
      </c>
      <c r="E101" s="14">
        <v>135</v>
      </c>
      <c r="F101" s="14">
        <v>0.86</v>
      </c>
      <c r="G101" s="14">
        <v>3.06</v>
      </c>
      <c r="H101" s="14">
        <v>8.01</v>
      </c>
      <c r="I101" s="14">
        <v>62.95</v>
      </c>
      <c r="J101" s="10">
        <v>5.7</v>
      </c>
    </row>
    <row r="102" spans="1:10" ht="31.15" customHeight="1" x14ac:dyDescent="0.25">
      <c r="A102" s="328" t="s">
        <v>324</v>
      </c>
      <c r="B102" s="328"/>
      <c r="C102" s="328"/>
      <c r="D102" s="139" t="s">
        <v>162</v>
      </c>
      <c r="E102" s="10">
        <v>42.200499999999998</v>
      </c>
      <c r="F102" s="139">
        <v>1.93</v>
      </c>
      <c r="G102" s="139">
        <v>2.75</v>
      </c>
      <c r="H102" s="139">
        <v>10.48</v>
      </c>
      <c r="I102" s="139">
        <v>72.209999999999994</v>
      </c>
      <c r="J102" s="10">
        <v>28.9</v>
      </c>
    </row>
    <row r="103" spans="1:10" x14ac:dyDescent="0.25">
      <c r="A103" s="249" t="s">
        <v>210</v>
      </c>
      <c r="B103" s="250"/>
      <c r="C103" s="251"/>
      <c r="D103" s="10" t="s">
        <v>48</v>
      </c>
      <c r="E103" s="10" t="s">
        <v>235</v>
      </c>
      <c r="F103" s="25">
        <v>19.5</v>
      </c>
      <c r="G103" s="25">
        <v>9</v>
      </c>
      <c r="H103" s="25">
        <v>8.3000000000000007</v>
      </c>
      <c r="I103" s="25">
        <v>193</v>
      </c>
      <c r="J103" s="25">
        <v>34.4</v>
      </c>
    </row>
    <row r="104" spans="1:10" x14ac:dyDescent="0.25">
      <c r="A104" s="15" t="s">
        <v>108</v>
      </c>
      <c r="B104" s="15"/>
      <c r="C104" s="15"/>
      <c r="D104" s="10">
        <v>150</v>
      </c>
      <c r="E104" s="10">
        <v>510.2004</v>
      </c>
      <c r="F104" s="13">
        <v>4.5999999999999996</v>
      </c>
      <c r="G104" s="13">
        <v>5</v>
      </c>
      <c r="H104" s="13">
        <v>20.8</v>
      </c>
      <c r="I104" s="13">
        <v>147</v>
      </c>
      <c r="J104" s="14">
        <v>0</v>
      </c>
    </row>
    <row r="105" spans="1:10" x14ac:dyDescent="0.25">
      <c r="A105" s="295" t="s">
        <v>325</v>
      </c>
      <c r="B105" s="296"/>
      <c r="C105" s="297"/>
      <c r="D105" s="24">
        <v>180</v>
      </c>
      <c r="E105" s="24">
        <v>394.16</v>
      </c>
      <c r="F105" s="25">
        <v>0.64</v>
      </c>
      <c r="G105" s="25">
        <v>0.04</v>
      </c>
      <c r="H105" s="25">
        <v>18.3</v>
      </c>
      <c r="I105" s="25">
        <v>76.11</v>
      </c>
      <c r="J105" s="25">
        <v>0.5</v>
      </c>
    </row>
    <row r="106" spans="1:10" x14ac:dyDescent="0.25">
      <c r="A106" s="136" t="s">
        <v>23</v>
      </c>
      <c r="B106" s="137"/>
      <c r="C106" s="138"/>
      <c r="D106" s="10">
        <v>45</v>
      </c>
      <c r="E106" s="10" t="s">
        <v>80</v>
      </c>
      <c r="F106" s="13">
        <v>2.75</v>
      </c>
      <c r="G106" s="13">
        <v>0.54</v>
      </c>
      <c r="H106" s="13">
        <v>17.96</v>
      </c>
      <c r="I106" s="13">
        <v>87.66</v>
      </c>
      <c r="J106" s="25">
        <v>0</v>
      </c>
    </row>
    <row r="107" spans="1:10" x14ac:dyDescent="0.25">
      <c r="A107" s="249" t="s">
        <v>13</v>
      </c>
      <c r="B107" s="250"/>
      <c r="C107" s="251"/>
      <c r="D107" s="10">
        <v>20</v>
      </c>
      <c r="E107" s="10" t="s">
        <v>79</v>
      </c>
      <c r="F107" s="13">
        <v>1.52</v>
      </c>
      <c r="G107" s="13">
        <v>0.16</v>
      </c>
      <c r="H107" s="13">
        <v>9.84</v>
      </c>
      <c r="I107" s="13">
        <v>46.88</v>
      </c>
      <c r="J107" s="25">
        <v>0</v>
      </c>
    </row>
    <row r="108" spans="1:10" x14ac:dyDescent="0.25">
      <c r="A108" s="243" t="s">
        <v>12</v>
      </c>
      <c r="B108" s="244"/>
      <c r="C108" s="245"/>
      <c r="D108" s="6">
        <f>D101+255+70+40+D104+D105+D106+D107</f>
        <v>820</v>
      </c>
      <c r="E108" s="10"/>
      <c r="F108" s="133">
        <f>SUM(F101:F107)</f>
        <v>31.8</v>
      </c>
      <c r="G108" s="133">
        <f>SUM(G101:G107)</f>
        <v>20.55</v>
      </c>
      <c r="H108" s="133">
        <f>SUM(H101:H107)</f>
        <v>93.69</v>
      </c>
      <c r="I108" s="133">
        <f>SUM(I101:I107)</f>
        <v>685.81</v>
      </c>
      <c r="J108" s="133">
        <f>SUM(J101:J107)</f>
        <v>69.5</v>
      </c>
    </row>
    <row r="109" spans="1:10" x14ac:dyDescent="0.25">
      <c r="A109" s="268" t="s">
        <v>37</v>
      </c>
      <c r="B109" s="268"/>
      <c r="C109" s="268"/>
      <c r="D109" s="268"/>
      <c r="E109" s="268"/>
      <c r="F109" s="268"/>
      <c r="G109" s="268"/>
      <c r="H109" s="268"/>
      <c r="I109" s="268"/>
      <c r="J109" s="11"/>
    </row>
    <row r="110" spans="1:10" ht="26.25" customHeight="1" x14ac:dyDescent="0.25">
      <c r="A110" s="266" t="s">
        <v>292</v>
      </c>
      <c r="B110" s="266"/>
      <c r="C110" s="266"/>
      <c r="D110" s="139" t="s">
        <v>293</v>
      </c>
      <c r="E110" s="10" t="s">
        <v>294</v>
      </c>
      <c r="F110" s="11">
        <f>23.33+0.57</f>
        <v>23.9</v>
      </c>
      <c r="G110" s="11">
        <f>10.36+1.26</f>
        <v>11.62</v>
      </c>
      <c r="H110" s="11">
        <f>45.85+3.59</f>
        <v>49.44</v>
      </c>
      <c r="I110" s="11">
        <f>366.57+28.01</f>
        <v>394.58</v>
      </c>
      <c r="J110" s="14">
        <f>6.96+0.2</f>
        <v>7.16</v>
      </c>
    </row>
    <row r="111" spans="1:10" ht="15" customHeight="1" x14ac:dyDescent="0.25">
      <c r="A111" s="136" t="s">
        <v>13</v>
      </c>
      <c r="B111" s="137"/>
      <c r="C111" s="179"/>
      <c r="D111" s="10">
        <v>20</v>
      </c>
      <c r="E111" s="10" t="s">
        <v>79</v>
      </c>
      <c r="F111" s="13">
        <v>1.52</v>
      </c>
      <c r="G111" s="13">
        <v>0.16</v>
      </c>
      <c r="H111" s="13">
        <v>9.84</v>
      </c>
      <c r="I111" s="13">
        <v>46.88</v>
      </c>
      <c r="J111" s="25">
        <v>0</v>
      </c>
    </row>
    <row r="112" spans="1:10" ht="14.45" customHeight="1" x14ac:dyDescent="0.25">
      <c r="A112" s="304" t="s">
        <v>46</v>
      </c>
      <c r="B112" s="304"/>
      <c r="C112" s="304"/>
      <c r="D112" s="14">
        <v>200</v>
      </c>
      <c r="E112" s="14">
        <v>255</v>
      </c>
      <c r="F112" s="11">
        <v>5.8</v>
      </c>
      <c r="G112" s="11">
        <v>5</v>
      </c>
      <c r="H112" s="11">
        <v>9.6</v>
      </c>
      <c r="I112" s="11">
        <v>108</v>
      </c>
      <c r="J112" s="14">
        <v>2.6</v>
      </c>
    </row>
    <row r="113" spans="1:10" x14ac:dyDescent="0.25">
      <c r="A113" s="249" t="s">
        <v>273</v>
      </c>
      <c r="B113" s="250"/>
      <c r="C113" s="251"/>
      <c r="D113" s="10">
        <v>75</v>
      </c>
      <c r="E113" s="10"/>
      <c r="F113" s="13">
        <v>0.3</v>
      </c>
      <c r="G113" s="13">
        <v>0.3</v>
      </c>
      <c r="H113" s="13">
        <v>7.35</v>
      </c>
      <c r="I113" s="13">
        <v>33.299999999999997</v>
      </c>
      <c r="J113" s="14">
        <v>7.5</v>
      </c>
    </row>
    <row r="114" spans="1:10" x14ac:dyDescent="0.25">
      <c r="A114" s="243" t="s">
        <v>12</v>
      </c>
      <c r="B114" s="244"/>
      <c r="C114" s="245"/>
      <c r="D114" s="6">
        <f>140+30+D111+185+D113</f>
        <v>450</v>
      </c>
      <c r="E114" s="6"/>
      <c r="F114" s="133">
        <f>SUM(F110:F113)</f>
        <v>31.52</v>
      </c>
      <c r="G114" s="133">
        <f>SUM(G110:G113)</f>
        <v>17.080000000000002</v>
      </c>
      <c r="H114" s="133">
        <f>SUM(H110:H113)</f>
        <v>76.22999999999999</v>
      </c>
      <c r="I114" s="133">
        <f>SUM(I110:I113)</f>
        <v>582.76</v>
      </c>
      <c r="J114" s="133">
        <f>SUM(J110:J113)</f>
        <v>17.259999999999998</v>
      </c>
    </row>
    <row r="115" spans="1:10" ht="15.75" thickBot="1" x14ac:dyDescent="0.3">
      <c r="A115" s="142" t="s">
        <v>14</v>
      </c>
      <c r="B115" s="143"/>
      <c r="C115" s="143"/>
      <c r="D115" s="144"/>
      <c r="E115" s="145"/>
      <c r="F115" s="146">
        <f>F114+F108+F99+F94</f>
        <v>79.42</v>
      </c>
      <c r="G115" s="146">
        <f>G114+G108+G99+G94</f>
        <v>55.39</v>
      </c>
      <c r="H115" s="146">
        <f>H114+H108+H99+H94</f>
        <v>262.81</v>
      </c>
      <c r="I115" s="146">
        <f>I114+I108+I99+I94</f>
        <v>1867.4299999999998</v>
      </c>
      <c r="J115" s="146">
        <f>J114+J108+J99+J94</f>
        <v>94.199999999999989</v>
      </c>
    </row>
    <row r="116" spans="1:10" ht="24.6" hidden="1" customHeight="1" x14ac:dyDescent="0.25"/>
    <row r="117" spans="1:10" ht="24" customHeight="1" x14ac:dyDescent="0.25"/>
    <row r="118" spans="1:10" ht="42.75" x14ac:dyDescent="0.25">
      <c r="A118" s="269" t="s">
        <v>0</v>
      </c>
      <c r="B118" s="269"/>
      <c r="C118" s="269"/>
      <c r="D118" s="6" t="s">
        <v>1</v>
      </c>
      <c r="E118" s="6" t="s">
        <v>2</v>
      </c>
      <c r="F118" s="133" t="s">
        <v>3</v>
      </c>
      <c r="G118" s="133" t="s">
        <v>4</v>
      </c>
      <c r="H118" s="133" t="s">
        <v>28</v>
      </c>
      <c r="I118" s="134" t="s">
        <v>75</v>
      </c>
      <c r="J118" s="6" t="s">
        <v>76</v>
      </c>
    </row>
    <row r="119" spans="1:10" x14ac:dyDescent="0.25">
      <c r="A119" s="269" t="s">
        <v>5</v>
      </c>
      <c r="B119" s="269"/>
      <c r="C119" s="269"/>
      <c r="D119" s="269"/>
      <c r="E119" s="269"/>
      <c r="F119" s="269"/>
      <c r="G119" s="269"/>
      <c r="H119" s="269"/>
      <c r="I119" s="269"/>
      <c r="J119" s="269"/>
    </row>
    <row r="120" spans="1:10" x14ac:dyDescent="0.25">
      <c r="A120" s="269" t="s">
        <v>20</v>
      </c>
      <c r="B120" s="269"/>
      <c r="C120" s="269"/>
      <c r="D120" s="269"/>
      <c r="E120" s="269"/>
      <c r="F120" s="269"/>
      <c r="G120" s="269"/>
      <c r="H120" s="269"/>
      <c r="I120" s="269"/>
      <c r="J120" s="269"/>
    </row>
    <row r="121" spans="1:10" x14ac:dyDescent="0.25">
      <c r="A121" s="269" t="s">
        <v>9</v>
      </c>
      <c r="B121" s="269"/>
      <c r="C121" s="269"/>
      <c r="D121" s="269"/>
      <c r="E121" s="269"/>
      <c r="F121" s="269"/>
      <c r="G121" s="269"/>
      <c r="H121" s="269"/>
      <c r="I121" s="269"/>
      <c r="J121" s="269"/>
    </row>
    <row r="122" spans="1:10" ht="28.5" customHeight="1" x14ac:dyDescent="0.25">
      <c r="A122" s="298" t="s">
        <v>316</v>
      </c>
      <c r="B122" s="299"/>
      <c r="C122" s="300"/>
      <c r="D122" s="135" t="s">
        <v>202</v>
      </c>
      <c r="E122" s="10" t="s">
        <v>250</v>
      </c>
      <c r="F122" s="13">
        <v>4.68</v>
      </c>
      <c r="G122" s="13">
        <v>7.15</v>
      </c>
      <c r="H122" s="13">
        <v>12.7</v>
      </c>
      <c r="I122" s="13">
        <v>134.97999999999999</v>
      </c>
      <c r="J122" s="14">
        <v>7.0000000000000007E-2</v>
      </c>
    </row>
    <row r="123" spans="1:10" ht="34.5" customHeight="1" x14ac:dyDescent="0.25">
      <c r="A123" s="280" t="s">
        <v>182</v>
      </c>
      <c r="B123" s="280"/>
      <c r="C123" s="280"/>
      <c r="D123" s="24" t="s">
        <v>203</v>
      </c>
      <c r="E123" s="24">
        <v>93.200500000000005</v>
      </c>
      <c r="F123" s="25">
        <v>6.2</v>
      </c>
      <c r="G123" s="25">
        <v>7.1</v>
      </c>
      <c r="H123" s="25">
        <v>24.6</v>
      </c>
      <c r="I123" s="25">
        <v>188</v>
      </c>
      <c r="J123" s="25">
        <v>1.4</v>
      </c>
    </row>
    <row r="124" spans="1:10" x14ac:dyDescent="0.25">
      <c r="A124" s="249" t="s">
        <v>151</v>
      </c>
      <c r="B124" s="250"/>
      <c r="C124" s="251"/>
      <c r="D124" s="10">
        <v>180</v>
      </c>
      <c r="E124" s="10" t="s">
        <v>248</v>
      </c>
      <c r="F124" s="11">
        <v>5.22</v>
      </c>
      <c r="G124" s="11">
        <v>4.5</v>
      </c>
      <c r="H124" s="11">
        <v>21.14</v>
      </c>
      <c r="I124" s="11">
        <v>147.19</v>
      </c>
      <c r="J124" s="10">
        <v>2.34</v>
      </c>
    </row>
    <row r="125" spans="1:10" x14ac:dyDescent="0.25">
      <c r="A125" s="243" t="s">
        <v>12</v>
      </c>
      <c r="B125" s="244"/>
      <c r="C125" s="245"/>
      <c r="D125" s="10">
        <f>25.5+10.5+204+D124</f>
        <v>420</v>
      </c>
      <c r="E125" s="10"/>
      <c r="F125" s="133">
        <f>SUM(F122:F124)</f>
        <v>16.099999999999998</v>
      </c>
      <c r="G125" s="133">
        <f t="shared" ref="G125:J125" si="0">SUM(G122:G124)</f>
        <v>18.75</v>
      </c>
      <c r="H125" s="133">
        <f t="shared" si="0"/>
        <v>58.44</v>
      </c>
      <c r="I125" s="133">
        <f t="shared" si="0"/>
        <v>470.17</v>
      </c>
      <c r="J125" s="133">
        <f t="shared" si="0"/>
        <v>3.8099999999999996</v>
      </c>
    </row>
    <row r="126" spans="1:10" x14ac:dyDescent="0.25">
      <c r="A126" s="269" t="s">
        <v>8</v>
      </c>
      <c r="B126" s="269"/>
      <c r="C126" s="269"/>
      <c r="D126" s="269"/>
      <c r="E126" s="269"/>
      <c r="F126" s="269"/>
      <c r="G126" s="269"/>
      <c r="H126" s="269"/>
      <c r="I126" s="269"/>
      <c r="J126" s="6"/>
    </row>
    <row r="127" spans="1:10" ht="14.45" customHeight="1" x14ac:dyDescent="0.25">
      <c r="A127" s="249" t="s">
        <v>273</v>
      </c>
      <c r="B127" s="250"/>
      <c r="C127" s="251"/>
      <c r="D127" s="14">
        <v>140</v>
      </c>
      <c r="E127" s="10" t="s">
        <v>77</v>
      </c>
      <c r="F127" s="13">
        <v>2.1</v>
      </c>
      <c r="G127" s="13">
        <v>0.14000000000000001</v>
      </c>
      <c r="H127" s="13">
        <v>26.88</v>
      </c>
      <c r="I127" s="13">
        <v>124.6</v>
      </c>
      <c r="J127" s="25" t="s">
        <v>77</v>
      </c>
    </row>
    <row r="128" spans="1:10" ht="11.25" customHeight="1" x14ac:dyDescent="0.25">
      <c r="A128" s="243" t="s">
        <v>12</v>
      </c>
      <c r="B128" s="244"/>
      <c r="C128" s="245"/>
      <c r="D128" s="10">
        <f>SUM(D127)</f>
        <v>140</v>
      </c>
      <c r="E128" s="10"/>
      <c r="F128" s="133">
        <f>SUM(F127:F127)</f>
        <v>2.1</v>
      </c>
      <c r="G128" s="133">
        <f>SUM(G127:G127)</f>
        <v>0.14000000000000001</v>
      </c>
      <c r="H128" s="133">
        <f>SUM(H127:H127)</f>
        <v>26.88</v>
      </c>
      <c r="I128" s="133">
        <f>SUM(I127:I127)</f>
        <v>124.6</v>
      </c>
      <c r="J128" s="133">
        <f>SUM(J127:J127)</f>
        <v>0</v>
      </c>
    </row>
    <row r="129" spans="1:10" ht="12" customHeight="1" x14ac:dyDescent="0.25">
      <c r="A129" s="269" t="s">
        <v>11</v>
      </c>
      <c r="B129" s="269"/>
      <c r="C129" s="269"/>
      <c r="D129" s="269"/>
      <c r="E129" s="269"/>
      <c r="F129" s="269"/>
      <c r="G129" s="269"/>
      <c r="H129" s="269"/>
      <c r="I129" s="269"/>
      <c r="J129" s="10"/>
    </row>
    <row r="130" spans="1:10" ht="24.6" hidden="1" customHeight="1" x14ac:dyDescent="0.25">
      <c r="A130" s="301" t="s">
        <v>197</v>
      </c>
      <c r="B130" s="302"/>
      <c r="C130" s="303"/>
      <c r="D130" s="33">
        <v>60</v>
      </c>
      <c r="E130" s="33">
        <v>14.2005</v>
      </c>
      <c r="F130" s="33">
        <v>0.6</v>
      </c>
      <c r="G130" s="33">
        <v>6</v>
      </c>
      <c r="H130" s="33">
        <v>2.5</v>
      </c>
      <c r="I130" s="33">
        <v>66.7</v>
      </c>
      <c r="J130" s="14">
        <v>17</v>
      </c>
    </row>
    <row r="131" spans="1:10" ht="15" customHeight="1" x14ac:dyDescent="0.25">
      <c r="A131" s="298" t="s">
        <v>326</v>
      </c>
      <c r="B131" s="299"/>
      <c r="C131" s="300"/>
      <c r="D131" s="24">
        <v>60</v>
      </c>
      <c r="E131" s="24">
        <v>1.2004999999999999</v>
      </c>
      <c r="F131" s="24">
        <v>0.81</v>
      </c>
      <c r="G131" s="24">
        <v>5.5</v>
      </c>
      <c r="H131" s="24">
        <v>4.99</v>
      </c>
      <c r="I131" s="24">
        <v>72.64</v>
      </c>
      <c r="J131" s="10">
        <v>5.94</v>
      </c>
    </row>
    <row r="132" spans="1:10" ht="28.9" customHeight="1" x14ac:dyDescent="0.25">
      <c r="A132" s="280" t="s">
        <v>167</v>
      </c>
      <c r="B132" s="280"/>
      <c r="C132" s="280"/>
      <c r="D132" s="26" t="s">
        <v>161</v>
      </c>
      <c r="E132" s="24">
        <v>38.200400000000002</v>
      </c>
      <c r="F132" s="25">
        <v>4.97</v>
      </c>
      <c r="G132" s="25">
        <v>3.7</v>
      </c>
      <c r="H132" s="25">
        <v>20.9</v>
      </c>
      <c r="I132" s="25">
        <v>136</v>
      </c>
      <c r="J132" s="25">
        <v>16.7</v>
      </c>
    </row>
    <row r="133" spans="1:10" x14ac:dyDescent="0.25">
      <c r="A133" s="249" t="s">
        <v>211</v>
      </c>
      <c r="B133" s="250"/>
      <c r="C133" s="251"/>
      <c r="D133" s="10" t="s">
        <v>212</v>
      </c>
      <c r="E133" s="10" t="s">
        <v>236</v>
      </c>
      <c r="F133" s="11">
        <v>6.55</v>
      </c>
      <c r="G133" s="11">
        <v>7</v>
      </c>
      <c r="H133" s="11">
        <v>11.91</v>
      </c>
      <c r="I133" s="13">
        <v>137.15</v>
      </c>
      <c r="J133" s="10">
        <v>2</v>
      </c>
    </row>
    <row r="134" spans="1:10" x14ac:dyDescent="0.25">
      <c r="A134" s="249" t="s">
        <v>16</v>
      </c>
      <c r="B134" s="250"/>
      <c r="C134" s="251"/>
      <c r="D134" s="24">
        <v>150</v>
      </c>
      <c r="E134" s="24">
        <v>206.20050000000001</v>
      </c>
      <c r="F134" s="29">
        <v>3.22</v>
      </c>
      <c r="G134" s="29">
        <v>3.62</v>
      </c>
      <c r="H134" s="29">
        <v>21.69</v>
      </c>
      <c r="I134" s="29">
        <v>132.32</v>
      </c>
      <c r="J134" s="25">
        <v>25.5</v>
      </c>
    </row>
    <row r="135" spans="1:10" x14ac:dyDescent="0.25">
      <c r="A135" s="15" t="s">
        <v>247</v>
      </c>
      <c r="B135" s="15"/>
      <c r="C135" s="15"/>
      <c r="D135" s="24">
        <v>180</v>
      </c>
      <c r="E135" s="24" t="s">
        <v>234</v>
      </c>
      <c r="F135" s="25">
        <v>0.34</v>
      </c>
      <c r="G135" s="25">
        <v>7.0000000000000007E-2</v>
      </c>
      <c r="H135" s="25">
        <v>11.99</v>
      </c>
      <c r="I135" s="25">
        <v>86.66</v>
      </c>
      <c r="J135" s="25">
        <v>0.49</v>
      </c>
    </row>
    <row r="136" spans="1:10" x14ac:dyDescent="0.25">
      <c r="A136" s="136" t="s">
        <v>23</v>
      </c>
      <c r="B136" s="137"/>
      <c r="C136" s="138"/>
      <c r="D136" s="10">
        <v>45</v>
      </c>
      <c r="E136" s="10" t="s">
        <v>80</v>
      </c>
      <c r="F136" s="13">
        <v>2.75</v>
      </c>
      <c r="G136" s="13">
        <v>0.54</v>
      </c>
      <c r="H136" s="13">
        <v>17.96</v>
      </c>
      <c r="I136" s="13">
        <v>87.66</v>
      </c>
      <c r="J136" s="25">
        <v>0</v>
      </c>
    </row>
    <row r="137" spans="1:10" x14ac:dyDescent="0.25">
      <c r="A137" s="249" t="s">
        <v>13</v>
      </c>
      <c r="B137" s="250"/>
      <c r="C137" s="251"/>
      <c r="D137" s="10">
        <v>20</v>
      </c>
      <c r="E137" s="10" t="s">
        <v>79</v>
      </c>
      <c r="F137" s="13">
        <v>1.52</v>
      </c>
      <c r="G137" s="13">
        <f>0.16</f>
        <v>0.16</v>
      </c>
      <c r="H137" s="13">
        <v>9.84</v>
      </c>
      <c r="I137" s="13">
        <v>46.88</v>
      </c>
      <c r="J137" s="6">
        <v>0</v>
      </c>
    </row>
    <row r="138" spans="1:10" ht="10.9" customHeight="1" x14ac:dyDescent="0.25">
      <c r="A138" s="243" t="s">
        <v>12</v>
      </c>
      <c r="B138" s="244"/>
      <c r="C138" s="245"/>
      <c r="D138" s="10"/>
      <c r="E138" s="10"/>
      <c r="F138" s="133">
        <f>SUM(F131:F137)</f>
        <v>20.16</v>
      </c>
      <c r="G138" s="133">
        <f t="shared" ref="G138:J138" si="1">SUM(G131:G137)</f>
        <v>20.59</v>
      </c>
      <c r="H138" s="133">
        <f t="shared" si="1"/>
        <v>99.28</v>
      </c>
      <c r="I138" s="133">
        <f t="shared" si="1"/>
        <v>699.31</v>
      </c>
      <c r="J138" s="133">
        <f t="shared" si="1"/>
        <v>50.63</v>
      </c>
    </row>
    <row r="139" spans="1:10" ht="19.5" customHeight="1" x14ac:dyDescent="0.25">
      <c r="A139" s="268" t="s">
        <v>37</v>
      </c>
      <c r="B139" s="268"/>
      <c r="C139" s="268"/>
      <c r="D139" s="268"/>
      <c r="E139" s="268"/>
      <c r="F139" s="268"/>
      <c r="G139" s="268"/>
      <c r="H139" s="268"/>
      <c r="I139" s="268"/>
      <c r="J139" s="10"/>
    </row>
    <row r="140" spans="1:10" x14ac:dyDescent="0.25">
      <c r="A140" s="266" t="s">
        <v>295</v>
      </c>
      <c r="B140" s="266"/>
      <c r="C140" s="266"/>
      <c r="D140" s="139">
        <v>150</v>
      </c>
      <c r="E140" s="10">
        <v>68</v>
      </c>
      <c r="F140" s="11">
        <v>2.46</v>
      </c>
      <c r="G140" s="11">
        <v>4.1500000000000004</v>
      </c>
      <c r="H140" s="11">
        <v>14.39</v>
      </c>
      <c r="I140" s="11">
        <v>100.68</v>
      </c>
      <c r="J140" s="14">
        <v>16.420000000000002</v>
      </c>
    </row>
    <row r="141" spans="1:10" ht="15" customHeight="1" x14ac:dyDescent="0.25">
      <c r="A141" s="277" t="s">
        <v>13</v>
      </c>
      <c r="B141" s="278"/>
      <c r="C141" s="279"/>
      <c r="D141" s="14">
        <v>25</v>
      </c>
      <c r="E141" s="10" t="s">
        <v>81</v>
      </c>
      <c r="F141" s="13">
        <v>1.9</v>
      </c>
      <c r="G141" s="13">
        <v>0.2</v>
      </c>
      <c r="H141" s="13">
        <v>12.3</v>
      </c>
      <c r="I141" s="11">
        <f t="shared" ref="I141" si="2">(F141+H141)*4+G141*9</f>
        <v>58.6</v>
      </c>
      <c r="J141" s="14">
        <v>0</v>
      </c>
    </row>
    <row r="142" spans="1:10" x14ac:dyDescent="0.25">
      <c r="A142" s="249" t="s">
        <v>257</v>
      </c>
      <c r="B142" s="250"/>
      <c r="C142" s="251"/>
      <c r="D142" s="24">
        <v>80</v>
      </c>
      <c r="E142" s="24">
        <v>779</v>
      </c>
      <c r="F142" s="25">
        <v>5.67</v>
      </c>
      <c r="G142" s="25">
        <v>7.58</v>
      </c>
      <c r="H142" s="25">
        <v>47.13</v>
      </c>
      <c r="I142" s="25">
        <v>279.33</v>
      </c>
      <c r="J142" s="25">
        <v>0</v>
      </c>
    </row>
    <row r="143" spans="1:10" x14ac:dyDescent="0.25">
      <c r="A143" s="249" t="s">
        <v>285</v>
      </c>
      <c r="B143" s="250"/>
      <c r="C143" s="251"/>
      <c r="D143" s="10" t="s">
        <v>348</v>
      </c>
      <c r="E143" s="10">
        <v>251</v>
      </c>
      <c r="F143" s="13">
        <f>5.22</f>
        <v>5.22</v>
      </c>
      <c r="G143" s="13">
        <v>5.76</v>
      </c>
      <c r="H143" s="13">
        <f>7.2+3.99</f>
        <v>11.190000000000001</v>
      </c>
      <c r="I143" s="13">
        <f>101.52+15.97</f>
        <v>117.49</v>
      </c>
      <c r="J143" s="25">
        <v>1.26</v>
      </c>
    </row>
    <row r="144" spans="1:10" x14ac:dyDescent="0.25">
      <c r="A144" s="249" t="s">
        <v>38</v>
      </c>
      <c r="B144" s="250"/>
      <c r="C144" s="251"/>
      <c r="D144" s="24">
        <v>20</v>
      </c>
      <c r="E144" s="24"/>
      <c r="F144" s="25">
        <v>1.53</v>
      </c>
      <c r="G144" s="25">
        <v>2.2000000000000002</v>
      </c>
      <c r="H144" s="25">
        <v>14.2</v>
      </c>
      <c r="I144" s="25">
        <v>82.82</v>
      </c>
      <c r="J144" s="25" t="s">
        <v>77</v>
      </c>
    </row>
    <row r="145" spans="1:10" ht="14.45" customHeight="1" x14ac:dyDescent="0.25">
      <c r="A145" s="237" t="s">
        <v>12</v>
      </c>
      <c r="B145" s="238"/>
      <c r="C145" s="239"/>
      <c r="D145" s="8">
        <f>D144+185+D142+D141+D140</f>
        <v>460</v>
      </c>
      <c r="E145" s="8"/>
      <c r="F145" s="9">
        <f>SUM(F140:F144)</f>
        <v>16.78</v>
      </c>
      <c r="G145" s="9">
        <f t="shared" ref="G145:J145" si="3">SUM(G140:G144)</f>
        <v>19.889999999999997</v>
      </c>
      <c r="H145" s="9">
        <f t="shared" si="3"/>
        <v>99.210000000000008</v>
      </c>
      <c r="I145" s="9">
        <f t="shared" si="3"/>
        <v>638.92000000000007</v>
      </c>
      <c r="J145" s="9">
        <f t="shared" si="3"/>
        <v>17.680000000000003</v>
      </c>
    </row>
    <row r="146" spans="1:10" ht="32.25" customHeight="1" x14ac:dyDescent="0.25">
      <c r="A146" s="237" t="s">
        <v>14</v>
      </c>
      <c r="B146" s="238"/>
      <c r="C146" s="239"/>
      <c r="D146" s="8"/>
      <c r="E146" s="8"/>
      <c r="F146" s="9">
        <f>F145+F138+F128+F125</f>
        <v>55.14</v>
      </c>
      <c r="G146" s="9">
        <f t="shared" ref="G146:J146" si="4">G145+G138+G128+G125</f>
        <v>59.37</v>
      </c>
      <c r="H146" s="9">
        <f t="shared" si="4"/>
        <v>283.81</v>
      </c>
      <c r="I146" s="9">
        <f t="shared" si="4"/>
        <v>1933</v>
      </c>
      <c r="J146" s="9">
        <f t="shared" si="4"/>
        <v>72.12</v>
      </c>
    </row>
    <row r="147" spans="1:10" ht="43.5" x14ac:dyDescent="0.25">
      <c r="A147" s="269" t="s">
        <v>0</v>
      </c>
      <c r="B147" s="269"/>
      <c r="C147" s="269"/>
      <c r="D147" s="172" t="s">
        <v>1</v>
      </c>
      <c r="E147" s="172" t="s">
        <v>2</v>
      </c>
      <c r="F147" s="22" t="s">
        <v>3</v>
      </c>
      <c r="G147" s="22" t="s">
        <v>4</v>
      </c>
      <c r="H147" s="22" t="s">
        <v>28</v>
      </c>
      <c r="I147" s="23" t="s">
        <v>75</v>
      </c>
      <c r="J147" s="22" t="s">
        <v>76</v>
      </c>
    </row>
    <row r="148" spans="1:10" x14ac:dyDescent="0.25">
      <c r="A148" s="268" t="s">
        <v>21</v>
      </c>
      <c r="B148" s="268"/>
      <c r="C148" s="268"/>
      <c r="D148" s="268"/>
      <c r="E148" s="268"/>
      <c r="F148" s="268"/>
      <c r="G148" s="268"/>
      <c r="H148" s="268"/>
      <c r="I148" s="268"/>
      <c r="J148" s="268"/>
    </row>
    <row r="149" spans="1:10" x14ac:dyDescent="0.25">
      <c r="A149" s="268" t="s">
        <v>6</v>
      </c>
      <c r="B149" s="268"/>
      <c r="C149" s="268"/>
      <c r="D149" s="268"/>
      <c r="E149" s="268"/>
      <c r="F149" s="268"/>
      <c r="G149" s="268"/>
      <c r="H149" s="268"/>
      <c r="I149" s="268"/>
      <c r="J149" s="268"/>
    </row>
    <row r="150" spans="1:10" x14ac:dyDescent="0.25">
      <c r="A150" s="268" t="s">
        <v>9</v>
      </c>
      <c r="B150" s="268"/>
      <c r="C150" s="268"/>
      <c r="D150" s="268"/>
      <c r="E150" s="268"/>
      <c r="F150" s="268"/>
      <c r="G150" s="268"/>
      <c r="H150" s="268"/>
      <c r="I150" s="268"/>
      <c r="J150" s="268"/>
    </row>
    <row r="151" spans="1:10" ht="27.75" customHeight="1" x14ac:dyDescent="0.25">
      <c r="A151" s="298" t="s">
        <v>316</v>
      </c>
      <c r="B151" s="299"/>
      <c r="C151" s="300"/>
      <c r="D151" s="135" t="s">
        <v>202</v>
      </c>
      <c r="E151" s="10" t="s">
        <v>250</v>
      </c>
      <c r="F151" s="13">
        <v>4.68</v>
      </c>
      <c r="G151" s="13">
        <v>7.15</v>
      </c>
      <c r="H151" s="13">
        <v>12.7</v>
      </c>
      <c r="I151" s="13">
        <v>134.97999999999999</v>
      </c>
      <c r="J151" s="14">
        <v>7.0000000000000007E-2</v>
      </c>
    </row>
    <row r="152" spans="1:10" ht="30" customHeight="1" x14ac:dyDescent="0.25">
      <c r="A152" s="280" t="s">
        <v>207</v>
      </c>
      <c r="B152" s="280"/>
      <c r="C152" s="280"/>
      <c r="D152" s="10" t="s">
        <v>203</v>
      </c>
      <c r="E152" s="10" t="s">
        <v>347</v>
      </c>
      <c r="F152" s="13">
        <v>5.68</v>
      </c>
      <c r="G152" s="13">
        <v>5.8</v>
      </c>
      <c r="H152" s="13">
        <v>27.78</v>
      </c>
      <c r="I152" s="13">
        <v>186.79</v>
      </c>
      <c r="J152" s="10">
        <v>1.38</v>
      </c>
    </row>
    <row r="153" spans="1:10" ht="19.5" customHeight="1" x14ac:dyDescent="0.25">
      <c r="A153" s="249" t="s">
        <v>22</v>
      </c>
      <c r="B153" s="250"/>
      <c r="C153" s="251"/>
      <c r="D153" s="10">
        <v>180</v>
      </c>
      <c r="E153" s="10" t="s">
        <v>246</v>
      </c>
      <c r="F153" s="11">
        <v>1.22</v>
      </c>
      <c r="G153" s="11">
        <v>1.05</v>
      </c>
      <c r="H153" s="11">
        <v>12.01</v>
      </c>
      <c r="I153" s="11">
        <v>62.65</v>
      </c>
      <c r="J153" s="10">
        <v>0.55000000000000004</v>
      </c>
    </row>
    <row r="154" spans="1:10" x14ac:dyDescent="0.25">
      <c r="A154" s="243" t="s">
        <v>12</v>
      </c>
      <c r="B154" s="244"/>
      <c r="C154" s="245"/>
      <c r="D154" s="24">
        <f>D153+204+30+10.5</f>
        <v>424.5</v>
      </c>
      <c r="E154" s="24"/>
      <c r="F154" s="22">
        <f>SUM(F151:F153)</f>
        <v>11.58</v>
      </c>
      <c r="G154" s="22">
        <f t="shared" ref="G154:J154" si="5">SUM(G151:G153)</f>
        <v>14</v>
      </c>
      <c r="H154" s="22">
        <f t="shared" si="5"/>
        <v>52.49</v>
      </c>
      <c r="I154" s="22">
        <f t="shared" si="5"/>
        <v>384.41999999999996</v>
      </c>
      <c r="J154" s="22">
        <f t="shared" si="5"/>
        <v>2</v>
      </c>
    </row>
    <row r="155" spans="1:10" x14ac:dyDescent="0.25">
      <c r="A155" s="268" t="s">
        <v>8</v>
      </c>
      <c r="B155" s="268"/>
      <c r="C155" s="268"/>
      <c r="D155" s="268"/>
      <c r="E155" s="268"/>
      <c r="F155" s="268"/>
      <c r="G155" s="268"/>
      <c r="H155" s="268"/>
      <c r="I155" s="268"/>
      <c r="J155" s="25"/>
    </row>
    <row r="156" spans="1:10" x14ac:dyDescent="0.25">
      <c r="A156" s="249" t="s">
        <v>38</v>
      </c>
      <c r="B156" s="250"/>
      <c r="C156" s="251"/>
      <c r="D156" s="33">
        <v>15</v>
      </c>
      <c r="E156" s="33" t="s">
        <v>77</v>
      </c>
      <c r="F156" s="33">
        <v>1.1499999999999999</v>
      </c>
      <c r="G156" s="33">
        <v>1.65</v>
      </c>
      <c r="H156" s="33">
        <v>10.65</v>
      </c>
      <c r="I156" s="33">
        <v>62.12</v>
      </c>
      <c r="J156" s="25" t="s">
        <v>77</v>
      </c>
    </row>
    <row r="157" spans="1:10" x14ac:dyDescent="0.25">
      <c r="A157" s="249" t="s">
        <v>24</v>
      </c>
      <c r="B157" s="250"/>
      <c r="C157" s="251"/>
      <c r="D157" s="24">
        <v>180</v>
      </c>
      <c r="E157" s="24" t="s">
        <v>245</v>
      </c>
      <c r="F157" s="25">
        <v>0.9</v>
      </c>
      <c r="G157" s="25">
        <v>0.18</v>
      </c>
      <c r="H157" s="25">
        <v>18.18</v>
      </c>
      <c r="I157" s="25">
        <v>77.94</v>
      </c>
      <c r="J157" s="25">
        <v>3.6</v>
      </c>
    </row>
    <row r="158" spans="1:10" x14ac:dyDescent="0.25">
      <c r="A158" s="243" t="s">
        <v>12</v>
      </c>
      <c r="B158" s="244"/>
      <c r="C158" s="245"/>
      <c r="D158" s="24">
        <f>SUM(D156:D157)</f>
        <v>195</v>
      </c>
      <c r="E158" s="24"/>
      <c r="F158" s="22">
        <f>SUM(F156:F157)</f>
        <v>2.0499999999999998</v>
      </c>
      <c r="G158" s="22">
        <f t="shared" ref="G158:J158" si="6">SUM(G156:G157)</f>
        <v>1.8299999999999998</v>
      </c>
      <c r="H158" s="22">
        <f t="shared" si="6"/>
        <v>28.83</v>
      </c>
      <c r="I158" s="22">
        <f t="shared" si="6"/>
        <v>140.06</v>
      </c>
      <c r="J158" s="22">
        <f t="shared" si="6"/>
        <v>3.6</v>
      </c>
    </row>
    <row r="159" spans="1:10" x14ac:dyDescent="0.25">
      <c r="A159" s="268" t="s">
        <v>11</v>
      </c>
      <c r="B159" s="268"/>
      <c r="C159" s="268"/>
      <c r="D159" s="268"/>
      <c r="E159" s="268"/>
      <c r="F159" s="268"/>
      <c r="G159" s="268"/>
      <c r="H159" s="268"/>
      <c r="I159" s="268"/>
      <c r="J159" s="25"/>
    </row>
    <row r="160" spans="1:10" x14ac:dyDescent="0.25">
      <c r="A160" s="249" t="s">
        <v>254</v>
      </c>
      <c r="B160" s="250"/>
      <c r="C160" s="251"/>
      <c r="D160" s="24">
        <v>60</v>
      </c>
      <c r="E160" s="33" t="s">
        <v>198</v>
      </c>
      <c r="F160" s="33">
        <v>0.9</v>
      </c>
      <c r="G160" s="33">
        <v>3.6</v>
      </c>
      <c r="H160" s="33">
        <v>3.17</v>
      </c>
      <c r="I160" s="33">
        <v>45.7</v>
      </c>
      <c r="J160" s="25">
        <v>23.23</v>
      </c>
    </row>
    <row r="161" spans="1:10" ht="23.25" customHeight="1" x14ac:dyDescent="0.25">
      <c r="A161" s="327" t="s">
        <v>327</v>
      </c>
      <c r="B161" s="327"/>
      <c r="C161" s="327"/>
      <c r="D161" s="14">
        <v>60</v>
      </c>
      <c r="E161" s="8">
        <v>73.05</v>
      </c>
      <c r="F161" s="9">
        <v>0.79</v>
      </c>
      <c r="G161" s="9">
        <v>9.1300000000000008</v>
      </c>
      <c r="H161" s="9">
        <v>5.31</v>
      </c>
      <c r="I161" s="9">
        <v>106.48</v>
      </c>
      <c r="J161" s="14">
        <v>6.73</v>
      </c>
    </row>
    <row r="162" spans="1:10" ht="28.5" customHeight="1" x14ac:dyDescent="0.25">
      <c r="A162" s="327" t="s">
        <v>328</v>
      </c>
      <c r="B162" s="327"/>
      <c r="C162" s="327"/>
      <c r="D162" s="139" t="s">
        <v>162</v>
      </c>
      <c r="E162" s="10">
        <v>138.04</v>
      </c>
      <c r="F162" s="11">
        <v>19.37</v>
      </c>
      <c r="G162" s="11">
        <v>4.05</v>
      </c>
      <c r="H162" s="11">
        <v>16.87</v>
      </c>
      <c r="I162" s="11">
        <v>117.36</v>
      </c>
      <c r="J162" s="14">
        <v>16.55</v>
      </c>
    </row>
    <row r="163" spans="1:10" x14ac:dyDescent="0.25">
      <c r="A163" s="249" t="s">
        <v>296</v>
      </c>
      <c r="B163" s="250"/>
      <c r="C163" s="251"/>
      <c r="D163" s="10">
        <v>70</v>
      </c>
      <c r="E163" s="10">
        <v>297.16000000000003</v>
      </c>
      <c r="F163" s="11">
        <v>15.49</v>
      </c>
      <c r="G163" s="11">
        <v>15.51</v>
      </c>
      <c r="H163" s="11">
        <v>5.0999999999999996</v>
      </c>
      <c r="I163" s="13">
        <v>224.71</v>
      </c>
      <c r="J163" s="10">
        <v>0.38</v>
      </c>
    </row>
    <row r="164" spans="1:10" ht="14.25" customHeight="1" x14ac:dyDescent="0.25">
      <c r="A164" s="324" t="s">
        <v>297</v>
      </c>
      <c r="B164" s="325"/>
      <c r="C164" s="326"/>
      <c r="D164" s="33">
        <v>150</v>
      </c>
      <c r="E164" s="10">
        <v>212</v>
      </c>
      <c r="F164" s="29">
        <v>2.23</v>
      </c>
      <c r="G164" s="29">
        <v>2.35</v>
      </c>
      <c r="H164" s="29">
        <v>13.27</v>
      </c>
      <c r="I164" s="29">
        <v>83.11</v>
      </c>
      <c r="J164" s="25">
        <v>8.5</v>
      </c>
    </row>
    <row r="165" spans="1:10" ht="15.75" customHeight="1" x14ac:dyDescent="0.25">
      <c r="A165" s="250" t="s">
        <v>249</v>
      </c>
      <c r="B165" s="250"/>
      <c r="C165" s="251"/>
      <c r="D165" s="10">
        <v>180</v>
      </c>
      <c r="E165" s="24">
        <v>241.05</v>
      </c>
      <c r="F165" s="13">
        <v>0.14000000000000001</v>
      </c>
      <c r="G165" s="13">
        <v>0.14000000000000001</v>
      </c>
      <c r="H165" s="13">
        <v>15.51</v>
      </c>
      <c r="I165" s="13">
        <v>63.88</v>
      </c>
      <c r="J165" s="6">
        <v>3.6</v>
      </c>
    </row>
    <row r="166" spans="1:10" x14ac:dyDescent="0.25">
      <c r="A166" s="136" t="s">
        <v>23</v>
      </c>
      <c r="B166" s="137"/>
      <c r="C166" s="138"/>
      <c r="D166" s="10">
        <v>45</v>
      </c>
      <c r="E166" s="10" t="s">
        <v>80</v>
      </c>
      <c r="F166" s="13">
        <v>2.75</v>
      </c>
      <c r="G166" s="13">
        <v>0.54</v>
      </c>
      <c r="H166" s="13">
        <v>17.96</v>
      </c>
      <c r="I166" s="13">
        <v>87.66</v>
      </c>
      <c r="J166" s="25">
        <v>0</v>
      </c>
    </row>
    <row r="167" spans="1:10" x14ac:dyDescent="0.25">
      <c r="A167" s="249" t="s">
        <v>13</v>
      </c>
      <c r="B167" s="250"/>
      <c r="C167" s="251"/>
      <c r="D167" s="10">
        <v>20</v>
      </c>
      <c r="E167" s="10" t="s">
        <v>79</v>
      </c>
      <c r="F167" s="13">
        <v>1.52</v>
      </c>
      <c r="G167" s="13">
        <f>0.16</f>
        <v>0.16</v>
      </c>
      <c r="H167" s="13">
        <v>9.84</v>
      </c>
      <c r="I167" s="13">
        <v>46.88</v>
      </c>
      <c r="J167" s="6">
        <v>0</v>
      </c>
    </row>
    <row r="168" spans="1:10" x14ac:dyDescent="0.25">
      <c r="A168" s="243" t="s">
        <v>12</v>
      </c>
      <c r="B168" s="244"/>
      <c r="C168" s="245"/>
      <c r="D168" s="24">
        <f>D167+D166+D165+D164+D163+D160+250+5</f>
        <v>780</v>
      </c>
      <c r="E168" s="24"/>
      <c r="F168" s="22">
        <f>SUM(F160:F167)</f>
        <v>43.190000000000005</v>
      </c>
      <c r="G168" s="22">
        <f t="shared" ref="G168:J168" si="7">SUM(G160:G167)</f>
        <v>35.479999999999997</v>
      </c>
      <c r="H168" s="22">
        <f t="shared" si="7"/>
        <v>87.03</v>
      </c>
      <c r="I168" s="22">
        <f t="shared" si="7"/>
        <v>775.78</v>
      </c>
      <c r="J168" s="22">
        <f t="shared" si="7"/>
        <v>58.990000000000009</v>
      </c>
    </row>
    <row r="169" spans="1:10" x14ac:dyDescent="0.25">
      <c r="A169" s="268" t="s">
        <v>37</v>
      </c>
      <c r="B169" s="268"/>
      <c r="C169" s="268"/>
      <c r="D169" s="268"/>
      <c r="E169" s="268"/>
      <c r="F169" s="268"/>
      <c r="G169" s="268"/>
      <c r="H169" s="268"/>
      <c r="I169" s="268"/>
      <c r="J169" s="25"/>
    </row>
    <row r="170" spans="1:10" x14ac:dyDescent="0.25">
      <c r="A170" s="249" t="s">
        <v>273</v>
      </c>
      <c r="B170" s="250"/>
      <c r="C170" s="251"/>
      <c r="D170" s="24">
        <v>110</v>
      </c>
      <c r="E170" s="24" t="s">
        <v>77</v>
      </c>
      <c r="F170" s="25">
        <v>0.44</v>
      </c>
      <c r="G170" s="25">
        <v>0.44</v>
      </c>
      <c r="H170" s="25">
        <v>10.78</v>
      </c>
      <c r="I170" s="29">
        <v>48.84</v>
      </c>
      <c r="J170" s="25">
        <v>11</v>
      </c>
    </row>
    <row r="171" spans="1:10" x14ac:dyDescent="0.25">
      <c r="A171" s="249" t="s">
        <v>291</v>
      </c>
      <c r="B171" s="250"/>
      <c r="C171" s="251"/>
      <c r="D171" s="24">
        <v>60</v>
      </c>
      <c r="E171" s="33">
        <v>135</v>
      </c>
      <c r="F171" s="25">
        <v>0.86</v>
      </c>
      <c r="G171" s="25">
        <v>3.06</v>
      </c>
      <c r="H171" s="25">
        <v>8.01</v>
      </c>
      <c r="I171" s="25">
        <v>62.95</v>
      </c>
      <c r="J171" s="25">
        <v>5.7</v>
      </c>
    </row>
    <row r="172" spans="1:10" x14ac:dyDescent="0.25">
      <c r="A172" s="249" t="s">
        <v>68</v>
      </c>
      <c r="B172" s="250"/>
      <c r="C172" s="251"/>
      <c r="D172" s="24">
        <v>70</v>
      </c>
      <c r="E172" s="33">
        <v>289</v>
      </c>
      <c r="F172" s="11">
        <v>11.38</v>
      </c>
      <c r="G172" s="11">
        <v>5.23</v>
      </c>
      <c r="H172" s="11">
        <v>35.25</v>
      </c>
      <c r="I172" s="11">
        <v>233.54</v>
      </c>
      <c r="J172" s="10">
        <v>0.15</v>
      </c>
    </row>
    <row r="173" spans="1:10" x14ac:dyDescent="0.25">
      <c r="A173" s="249" t="s">
        <v>13</v>
      </c>
      <c r="B173" s="250"/>
      <c r="C173" s="251"/>
      <c r="D173" s="24">
        <v>30</v>
      </c>
      <c r="E173" s="24" t="s">
        <v>79</v>
      </c>
      <c r="F173" s="25">
        <v>2.2799999999999998</v>
      </c>
      <c r="G173" s="25">
        <v>0.24</v>
      </c>
      <c r="H173" s="25">
        <v>14.76</v>
      </c>
      <c r="I173" s="29">
        <v>70.319999999999993</v>
      </c>
      <c r="J173" s="25">
        <v>0</v>
      </c>
    </row>
    <row r="174" spans="1:10" ht="15" customHeight="1" x14ac:dyDescent="0.25">
      <c r="A174" s="252" t="s">
        <v>73</v>
      </c>
      <c r="B174" s="252"/>
      <c r="C174" s="252"/>
      <c r="D174" s="12">
        <v>180</v>
      </c>
      <c r="E174" s="10" t="s">
        <v>199</v>
      </c>
      <c r="F174" s="25">
        <v>0</v>
      </c>
      <c r="G174" s="25">
        <v>0</v>
      </c>
      <c r="H174" s="25">
        <v>10</v>
      </c>
      <c r="I174" s="25">
        <v>40</v>
      </c>
      <c r="J174" s="25">
        <v>0</v>
      </c>
    </row>
    <row r="175" spans="1:10" x14ac:dyDescent="0.25">
      <c r="A175" s="243" t="s">
        <v>12</v>
      </c>
      <c r="B175" s="244"/>
      <c r="C175" s="245"/>
      <c r="D175" s="24">
        <f>SUM(D170:D174)</f>
        <v>450</v>
      </c>
      <c r="E175" s="24"/>
      <c r="F175" s="22">
        <f>SUM(F170:F174)</f>
        <v>14.96</v>
      </c>
      <c r="G175" s="22">
        <f t="shared" ref="G175:J175" si="8">SUM(G170:G174)</f>
        <v>8.9700000000000006</v>
      </c>
      <c r="H175" s="22">
        <f t="shared" si="8"/>
        <v>78.8</v>
      </c>
      <c r="I175" s="22">
        <f t="shared" si="8"/>
        <v>455.65</v>
      </c>
      <c r="J175" s="22">
        <f t="shared" si="8"/>
        <v>16.849999999999998</v>
      </c>
    </row>
    <row r="176" spans="1:10" x14ac:dyDescent="0.25">
      <c r="A176" s="243" t="s">
        <v>14</v>
      </c>
      <c r="B176" s="244"/>
      <c r="C176" s="245"/>
      <c r="D176" s="172"/>
      <c r="E176" s="172"/>
      <c r="F176" s="22">
        <f>F175+F168+F158+F154</f>
        <v>71.78</v>
      </c>
      <c r="G176" s="22">
        <f>G175+G168+G158+G154</f>
        <v>60.279999999999994</v>
      </c>
      <c r="H176" s="22">
        <f>H175+H168+H158+H154</f>
        <v>247.14999999999998</v>
      </c>
      <c r="I176" s="22">
        <f>I175+I168+I158+I154</f>
        <v>1755.9099999999999</v>
      </c>
      <c r="J176" s="22">
        <f>J175+J168+J158+J154</f>
        <v>81.44</v>
      </c>
    </row>
    <row r="178" spans="1:10" ht="43.5" x14ac:dyDescent="0.25">
      <c r="A178" s="269" t="s">
        <v>0</v>
      </c>
      <c r="B178" s="269"/>
      <c r="C178" s="269"/>
      <c r="D178" s="172" t="s">
        <v>1</v>
      </c>
      <c r="E178" s="172" t="s">
        <v>2</v>
      </c>
      <c r="F178" s="22" t="s">
        <v>3</v>
      </c>
      <c r="G178" s="22" t="s">
        <v>4</v>
      </c>
      <c r="H178" s="22" t="s">
        <v>28</v>
      </c>
      <c r="I178" s="23" t="s">
        <v>75</v>
      </c>
      <c r="J178" s="22" t="s">
        <v>76</v>
      </c>
    </row>
    <row r="179" spans="1:10" x14ac:dyDescent="0.25">
      <c r="A179" s="269" t="s">
        <v>21</v>
      </c>
      <c r="B179" s="269"/>
      <c r="C179" s="269"/>
      <c r="D179" s="269"/>
      <c r="E179" s="269"/>
      <c r="F179" s="269"/>
      <c r="G179" s="269"/>
      <c r="H179" s="269"/>
      <c r="I179" s="269"/>
      <c r="J179" s="269"/>
    </row>
    <row r="180" spans="1:10" x14ac:dyDescent="0.25">
      <c r="A180" s="269" t="s">
        <v>15</v>
      </c>
      <c r="B180" s="269"/>
      <c r="C180" s="269"/>
      <c r="D180" s="269"/>
      <c r="E180" s="269"/>
      <c r="F180" s="269"/>
      <c r="G180" s="269"/>
      <c r="H180" s="269"/>
      <c r="I180" s="269"/>
      <c r="J180" s="269"/>
    </row>
    <row r="181" spans="1:10" x14ac:dyDescent="0.25">
      <c r="A181" s="269" t="s">
        <v>9</v>
      </c>
      <c r="B181" s="269"/>
      <c r="C181" s="269"/>
      <c r="D181" s="269"/>
      <c r="E181" s="269"/>
      <c r="F181" s="269"/>
      <c r="G181" s="269"/>
      <c r="H181" s="269"/>
      <c r="I181" s="269"/>
      <c r="J181" s="269"/>
    </row>
    <row r="182" spans="1:10" x14ac:dyDescent="0.25">
      <c r="A182" s="294" t="s">
        <v>315</v>
      </c>
      <c r="B182" s="294"/>
      <c r="C182" s="294"/>
      <c r="D182" s="135" t="s">
        <v>103</v>
      </c>
      <c r="E182" s="10" t="s">
        <v>143</v>
      </c>
      <c r="F182" s="13">
        <v>1.92</v>
      </c>
      <c r="G182" s="13">
        <v>4.3600000000000003</v>
      </c>
      <c r="H182" s="13">
        <v>12.7</v>
      </c>
      <c r="I182" s="13">
        <v>98.8</v>
      </c>
      <c r="J182" s="25">
        <v>0</v>
      </c>
    </row>
    <row r="183" spans="1:10" ht="36" customHeight="1" x14ac:dyDescent="0.25">
      <c r="A183" s="270" t="s">
        <v>187</v>
      </c>
      <c r="B183" s="270"/>
      <c r="C183" s="270"/>
      <c r="D183" s="24" t="s">
        <v>203</v>
      </c>
      <c r="E183" s="24">
        <v>99.200500000000005</v>
      </c>
      <c r="F183" s="25">
        <v>5.43</v>
      </c>
      <c r="G183" s="25">
        <v>5.73</v>
      </c>
      <c r="H183" s="25">
        <v>26.19</v>
      </c>
      <c r="I183" s="25">
        <v>178.73</v>
      </c>
      <c r="J183" s="25">
        <v>1.3</v>
      </c>
    </row>
    <row r="184" spans="1:10" ht="14.45" customHeight="1" x14ac:dyDescent="0.25">
      <c r="A184" s="310" t="s">
        <v>153</v>
      </c>
      <c r="B184" s="310"/>
      <c r="C184" s="310"/>
      <c r="D184" s="65">
        <v>180</v>
      </c>
      <c r="E184" s="58" t="s">
        <v>154</v>
      </c>
      <c r="F184" s="13">
        <v>6.32</v>
      </c>
      <c r="G184" s="13">
        <v>5.29</v>
      </c>
      <c r="H184" s="13">
        <v>21.62</v>
      </c>
      <c r="I184" s="11">
        <v>160.57</v>
      </c>
      <c r="J184" s="58">
        <v>2.54</v>
      </c>
    </row>
    <row r="185" spans="1:10" x14ac:dyDescent="0.25">
      <c r="A185" s="243" t="s">
        <v>12</v>
      </c>
      <c r="B185" s="244"/>
      <c r="C185" s="245"/>
      <c r="D185" s="24">
        <f>D184+204+30</f>
        <v>414</v>
      </c>
      <c r="E185" s="24"/>
      <c r="F185" s="22">
        <f>SUM(F182:F184)</f>
        <v>13.67</v>
      </c>
      <c r="G185" s="22">
        <f t="shared" ref="G185:J185" si="9">SUM(G182:G184)</f>
        <v>15.379999999999999</v>
      </c>
      <c r="H185" s="22">
        <f t="shared" si="9"/>
        <v>60.510000000000005</v>
      </c>
      <c r="I185" s="22">
        <f t="shared" si="9"/>
        <v>438.09999999999997</v>
      </c>
      <c r="J185" s="22">
        <f t="shared" si="9"/>
        <v>3.84</v>
      </c>
    </row>
    <row r="186" spans="1:10" x14ac:dyDescent="0.25">
      <c r="A186" s="269" t="s">
        <v>8</v>
      </c>
      <c r="B186" s="269"/>
      <c r="C186" s="269"/>
      <c r="D186" s="269"/>
      <c r="E186" s="269"/>
      <c r="F186" s="269"/>
      <c r="G186" s="269"/>
      <c r="H186" s="269"/>
      <c r="I186" s="269"/>
      <c r="J186" s="25"/>
    </row>
    <row r="187" spans="1:10" ht="14.45" customHeight="1" x14ac:dyDescent="0.25">
      <c r="A187" s="249" t="s">
        <v>273</v>
      </c>
      <c r="B187" s="250"/>
      <c r="C187" s="251"/>
      <c r="D187" s="10">
        <v>75</v>
      </c>
      <c r="E187" s="10"/>
      <c r="F187" s="13">
        <v>0.3</v>
      </c>
      <c r="G187" s="13">
        <v>0.3</v>
      </c>
      <c r="H187" s="13">
        <v>7.35</v>
      </c>
      <c r="I187" s="13">
        <v>33.299999999999997</v>
      </c>
      <c r="J187" s="14">
        <v>7.5</v>
      </c>
    </row>
    <row r="188" spans="1:10" x14ac:dyDescent="0.25">
      <c r="A188" s="243" t="s">
        <v>12</v>
      </c>
      <c r="B188" s="244"/>
      <c r="C188" s="245"/>
      <c r="D188" s="24">
        <f>SUM(D187)</f>
        <v>75</v>
      </c>
      <c r="E188" s="24"/>
      <c r="F188" s="22">
        <f>SUM(F187)</f>
        <v>0.3</v>
      </c>
      <c r="G188" s="22">
        <f t="shared" ref="G188:J188" si="10">SUM(G187)</f>
        <v>0.3</v>
      </c>
      <c r="H188" s="22">
        <f t="shared" si="10"/>
        <v>7.35</v>
      </c>
      <c r="I188" s="22">
        <f t="shared" si="10"/>
        <v>33.299999999999997</v>
      </c>
      <c r="J188" s="22">
        <f t="shared" si="10"/>
        <v>7.5</v>
      </c>
    </row>
    <row r="189" spans="1:10" x14ac:dyDescent="0.25">
      <c r="A189" s="269" t="s">
        <v>11</v>
      </c>
      <c r="B189" s="269"/>
      <c r="C189" s="269"/>
      <c r="D189" s="269"/>
      <c r="E189" s="269"/>
      <c r="F189" s="269"/>
      <c r="G189" s="269"/>
      <c r="H189" s="269"/>
      <c r="I189" s="269"/>
      <c r="J189" s="25"/>
    </row>
    <row r="190" spans="1:10" x14ac:dyDescent="0.25">
      <c r="A190" s="289" t="s">
        <v>329</v>
      </c>
      <c r="B190" s="289"/>
      <c r="C190" s="289"/>
      <c r="D190" s="8">
        <v>60</v>
      </c>
      <c r="E190" s="8" t="s">
        <v>166</v>
      </c>
      <c r="F190" s="9">
        <v>1</v>
      </c>
      <c r="G190" s="9">
        <v>0.1</v>
      </c>
      <c r="H190" s="9">
        <v>5.9</v>
      </c>
      <c r="I190" s="9">
        <v>28</v>
      </c>
      <c r="J190" s="14">
        <v>6.7</v>
      </c>
    </row>
    <row r="191" spans="1:10" ht="33.75" customHeight="1" x14ac:dyDescent="0.25">
      <c r="A191" s="280" t="s">
        <v>214</v>
      </c>
      <c r="B191" s="280"/>
      <c r="C191" s="280"/>
      <c r="D191" s="12" t="s">
        <v>224</v>
      </c>
      <c r="E191" s="10">
        <v>33.200499999999998</v>
      </c>
      <c r="F191" s="11">
        <f>2.8+1.88</f>
        <v>4.68</v>
      </c>
      <c r="G191" s="11">
        <f>5.6+1.76</f>
        <v>7.3599999999999994</v>
      </c>
      <c r="H191" s="11">
        <f>18.4+0.08</f>
        <v>18.479999999999997</v>
      </c>
      <c r="I191" s="11">
        <f>128+23.72</f>
        <v>151.72</v>
      </c>
      <c r="J191" s="14">
        <f>31.1+0.1</f>
        <v>31.200000000000003</v>
      </c>
    </row>
    <row r="192" spans="1:10" ht="17.25" customHeight="1" x14ac:dyDescent="0.25">
      <c r="A192" s="154" t="s">
        <v>130</v>
      </c>
      <c r="B192" s="155"/>
      <c r="C192" s="156"/>
      <c r="D192" s="59">
        <v>61.6</v>
      </c>
      <c r="E192" s="24">
        <v>413.2004</v>
      </c>
      <c r="F192" s="25">
        <v>6.8</v>
      </c>
      <c r="G192" s="25">
        <v>14.7</v>
      </c>
      <c r="H192" s="25">
        <v>0.2</v>
      </c>
      <c r="I192" s="29">
        <v>161</v>
      </c>
      <c r="J192" s="25">
        <v>0</v>
      </c>
    </row>
    <row r="193" spans="1:10" ht="23.25" customHeight="1" x14ac:dyDescent="0.25">
      <c r="A193" s="266" t="s">
        <v>19</v>
      </c>
      <c r="B193" s="266"/>
      <c r="C193" s="266"/>
      <c r="D193" s="139">
        <v>150</v>
      </c>
      <c r="E193" s="10">
        <v>200.20050000000001</v>
      </c>
      <c r="F193" s="11">
        <v>2.71</v>
      </c>
      <c r="G193" s="11">
        <v>3.05</v>
      </c>
      <c r="H193" s="11">
        <v>9.77</v>
      </c>
      <c r="I193" s="11">
        <v>78.33</v>
      </c>
      <c r="J193" s="14">
        <v>96.26</v>
      </c>
    </row>
    <row r="194" spans="1:10" x14ac:dyDescent="0.25">
      <c r="A194" s="15" t="s">
        <v>247</v>
      </c>
      <c r="B194" s="15"/>
      <c r="C194" s="15"/>
      <c r="D194" s="24">
        <v>180</v>
      </c>
      <c r="E194" s="24" t="s">
        <v>234</v>
      </c>
      <c r="F194" s="25">
        <v>0.34</v>
      </c>
      <c r="G194" s="25">
        <v>7.0000000000000007E-2</v>
      </c>
      <c r="H194" s="25">
        <v>11.99</v>
      </c>
      <c r="I194" s="25">
        <v>86.66</v>
      </c>
      <c r="J194" s="25">
        <v>0.49</v>
      </c>
    </row>
    <row r="195" spans="1:10" x14ac:dyDescent="0.25">
      <c r="A195" s="136" t="s">
        <v>23</v>
      </c>
      <c r="B195" s="137"/>
      <c r="C195" s="138"/>
      <c r="D195" s="10">
        <v>45</v>
      </c>
      <c r="E195" s="10" t="s">
        <v>80</v>
      </c>
      <c r="F195" s="13">
        <v>2.75</v>
      </c>
      <c r="G195" s="13">
        <v>0.54</v>
      </c>
      <c r="H195" s="13">
        <v>17.96</v>
      </c>
      <c r="I195" s="13">
        <v>87.66</v>
      </c>
      <c r="J195" s="25">
        <v>0</v>
      </c>
    </row>
    <row r="196" spans="1:10" x14ac:dyDescent="0.25">
      <c r="A196" s="249" t="s">
        <v>13</v>
      </c>
      <c r="B196" s="250"/>
      <c r="C196" s="251"/>
      <c r="D196" s="10">
        <v>20</v>
      </c>
      <c r="E196" s="10" t="s">
        <v>79</v>
      </c>
      <c r="F196" s="13">
        <v>1.52</v>
      </c>
      <c r="G196" s="13">
        <f>0.16</f>
        <v>0.16</v>
      </c>
      <c r="H196" s="13">
        <v>9.84</v>
      </c>
      <c r="I196" s="13">
        <v>46.88</v>
      </c>
      <c r="J196" s="6">
        <v>0</v>
      </c>
    </row>
    <row r="197" spans="1:10" x14ac:dyDescent="0.25">
      <c r="A197" s="243" t="s">
        <v>12</v>
      </c>
      <c r="B197" s="244"/>
      <c r="C197" s="245"/>
      <c r="D197" s="24"/>
      <c r="E197" s="24"/>
      <c r="F197" s="22">
        <f>SUM(F190:F196)</f>
        <v>19.8</v>
      </c>
      <c r="G197" s="22">
        <f>SUM(G190:G196)</f>
        <v>25.979999999999997</v>
      </c>
      <c r="H197" s="22">
        <f>SUM(H190:H196)</f>
        <v>74.14</v>
      </c>
      <c r="I197" s="22">
        <f>SUM(I190:I196)</f>
        <v>640.25</v>
      </c>
      <c r="J197" s="25">
        <f>SUM(J190:J196)</f>
        <v>134.65000000000003</v>
      </c>
    </row>
    <row r="198" spans="1:10" x14ac:dyDescent="0.25">
      <c r="A198" s="268" t="s">
        <v>37</v>
      </c>
      <c r="B198" s="268"/>
      <c r="C198" s="268"/>
      <c r="D198" s="268"/>
      <c r="E198" s="268"/>
      <c r="F198" s="268"/>
      <c r="G198" s="268"/>
      <c r="H198" s="268"/>
      <c r="I198" s="268"/>
      <c r="J198" s="25"/>
    </row>
    <row r="199" spans="1:10" ht="22.15" customHeight="1" x14ac:dyDescent="0.25">
      <c r="A199" s="307" t="s">
        <v>298</v>
      </c>
      <c r="B199" s="308"/>
      <c r="C199" s="309"/>
      <c r="D199" s="10">
        <v>190</v>
      </c>
      <c r="E199" s="10">
        <v>264.16000000000003</v>
      </c>
      <c r="F199" s="13">
        <v>16.28</v>
      </c>
      <c r="G199" s="13">
        <v>6.08</v>
      </c>
      <c r="H199" s="13">
        <v>17.36</v>
      </c>
      <c r="I199" s="13">
        <v>189.24</v>
      </c>
      <c r="J199" s="10">
        <v>19.059999999999999</v>
      </c>
    </row>
    <row r="200" spans="1:10" x14ac:dyDescent="0.25">
      <c r="A200" s="249" t="s">
        <v>13</v>
      </c>
      <c r="B200" s="250"/>
      <c r="C200" s="251"/>
      <c r="D200" s="24">
        <v>30</v>
      </c>
      <c r="E200" s="24" t="s">
        <v>79</v>
      </c>
      <c r="F200" s="25">
        <v>2.2799999999999998</v>
      </c>
      <c r="G200" s="25">
        <v>0.24</v>
      </c>
      <c r="H200" s="25">
        <v>14.76</v>
      </c>
      <c r="I200" s="29">
        <v>70.319999999999993</v>
      </c>
      <c r="J200" s="25">
        <v>0</v>
      </c>
    </row>
    <row r="201" spans="1:10" x14ac:dyDescent="0.25">
      <c r="A201" s="249" t="s">
        <v>285</v>
      </c>
      <c r="B201" s="250"/>
      <c r="C201" s="251"/>
      <c r="D201" s="10" t="s">
        <v>348</v>
      </c>
      <c r="E201" s="10">
        <v>251</v>
      </c>
      <c r="F201" s="13">
        <f>5.22</f>
        <v>5.22</v>
      </c>
      <c r="G201" s="13">
        <v>5.76</v>
      </c>
      <c r="H201" s="13">
        <f>7.2+3.99</f>
        <v>11.190000000000001</v>
      </c>
      <c r="I201" s="13">
        <f>101.52+15.97</f>
        <v>117.49</v>
      </c>
      <c r="J201" s="25">
        <v>1.26</v>
      </c>
    </row>
    <row r="202" spans="1:10" x14ac:dyDescent="0.25">
      <c r="A202" s="249" t="s">
        <v>38</v>
      </c>
      <c r="B202" s="250"/>
      <c r="C202" s="251"/>
      <c r="D202" s="24">
        <v>45</v>
      </c>
      <c r="E202" s="24"/>
      <c r="F202" s="25">
        <v>3.45</v>
      </c>
      <c r="G202" s="25">
        <v>4.95</v>
      </c>
      <c r="H202" s="25">
        <v>31.94</v>
      </c>
      <c r="I202" s="25">
        <v>186.35</v>
      </c>
      <c r="J202" s="25" t="s">
        <v>77</v>
      </c>
    </row>
    <row r="203" spans="1:10" x14ac:dyDescent="0.25">
      <c r="A203" s="243" t="s">
        <v>12</v>
      </c>
      <c r="B203" s="244"/>
      <c r="C203" s="245"/>
      <c r="D203" s="172">
        <f>D202+185+D200+190</f>
        <v>450</v>
      </c>
      <c r="E203" s="172"/>
      <c r="F203" s="22">
        <f>SUM(F199:F202)</f>
        <v>27.23</v>
      </c>
      <c r="G203" s="22">
        <f t="shared" ref="G203:J203" si="11">SUM(G199:G202)</f>
        <v>17.03</v>
      </c>
      <c r="H203" s="22">
        <f t="shared" si="11"/>
        <v>75.25</v>
      </c>
      <c r="I203" s="22">
        <f t="shared" si="11"/>
        <v>563.4</v>
      </c>
      <c r="J203" s="22">
        <f t="shared" si="11"/>
        <v>20.32</v>
      </c>
    </row>
    <row r="204" spans="1:10" ht="24" customHeight="1" x14ac:dyDescent="0.25">
      <c r="A204" s="243" t="s">
        <v>14</v>
      </c>
      <c r="B204" s="244"/>
      <c r="C204" s="245"/>
      <c r="D204" s="172"/>
      <c r="E204" s="172"/>
      <c r="F204" s="22">
        <f>F203+F197+F188+F185</f>
        <v>61</v>
      </c>
      <c r="G204" s="22">
        <f t="shared" ref="G204:J204" si="12">G203+G197+G188+G185</f>
        <v>58.69</v>
      </c>
      <c r="H204" s="22">
        <f t="shared" si="12"/>
        <v>217.25</v>
      </c>
      <c r="I204" s="22">
        <f t="shared" si="12"/>
        <v>1675.05</v>
      </c>
      <c r="J204" s="22">
        <f t="shared" si="12"/>
        <v>166.31000000000003</v>
      </c>
    </row>
    <row r="205" spans="1:10" ht="36" customHeight="1" x14ac:dyDescent="0.25">
      <c r="A205" s="269" t="s">
        <v>0</v>
      </c>
      <c r="B205" s="269"/>
      <c r="C205" s="269"/>
      <c r="D205" s="172" t="s">
        <v>1</v>
      </c>
      <c r="E205" s="172" t="s">
        <v>2</v>
      </c>
      <c r="F205" s="22" t="s">
        <v>3</v>
      </c>
      <c r="G205" s="22" t="s">
        <v>4</v>
      </c>
      <c r="H205" s="22" t="s">
        <v>28</v>
      </c>
      <c r="I205" s="23" t="s">
        <v>75</v>
      </c>
      <c r="J205" s="22" t="s">
        <v>76</v>
      </c>
    </row>
    <row r="206" spans="1:10" x14ac:dyDescent="0.25">
      <c r="A206" s="269" t="s">
        <v>21</v>
      </c>
      <c r="B206" s="269"/>
      <c r="C206" s="269"/>
      <c r="D206" s="269"/>
      <c r="E206" s="269"/>
      <c r="F206" s="269"/>
      <c r="G206" s="269"/>
      <c r="H206" s="269"/>
      <c r="I206" s="269"/>
      <c r="J206" s="269"/>
    </row>
    <row r="207" spans="1:10" x14ac:dyDescent="0.25">
      <c r="A207" s="269" t="s">
        <v>17</v>
      </c>
      <c r="B207" s="269"/>
      <c r="C207" s="269"/>
      <c r="D207" s="269"/>
      <c r="E207" s="269"/>
      <c r="F207" s="269"/>
      <c r="G207" s="269"/>
      <c r="H207" s="269"/>
      <c r="I207" s="269"/>
      <c r="J207" s="269"/>
    </row>
    <row r="208" spans="1:10" x14ac:dyDescent="0.25">
      <c r="A208" s="269" t="s">
        <v>9</v>
      </c>
      <c r="B208" s="269"/>
      <c r="C208" s="269"/>
      <c r="D208" s="269"/>
      <c r="E208" s="269"/>
      <c r="F208" s="269"/>
      <c r="G208" s="269"/>
      <c r="H208" s="269"/>
      <c r="I208" s="269"/>
      <c r="J208" s="269"/>
    </row>
    <row r="209" spans="1:10" ht="28.5" customHeight="1" x14ac:dyDescent="0.25">
      <c r="A209" s="298" t="s">
        <v>314</v>
      </c>
      <c r="B209" s="299"/>
      <c r="C209" s="300"/>
      <c r="D209" s="135" t="s">
        <v>202</v>
      </c>
      <c r="E209" s="10" t="s">
        <v>250</v>
      </c>
      <c r="F209" s="13">
        <v>4.68</v>
      </c>
      <c r="G209" s="13">
        <v>7.15</v>
      </c>
      <c r="H209" s="13">
        <v>12.7</v>
      </c>
      <c r="I209" s="13">
        <v>134.97999999999999</v>
      </c>
      <c r="J209" s="14">
        <v>7.0000000000000007E-2</v>
      </c>
    </row>
    <row r="210" spans="1:10" ht="32.25" customHeight="1" x14ac:dyDescent="0.25">
      <c r="A210" s="280" t="s">
        <v>182</v>
      </c>
      <c r="B210" s="280"/>
      <c r="C210" s="280"/>
      <c r="D210" s="24" t="s">
        <v>203</v>
      </c>
      <c r="E210" s="24">
        <v>93.200500000000005</v>
      </c>
      <c r="F210" s="25">
        <v>6.2</v>
      </c>
      <c r="G210" s="25">
        <v>7.1</v>
      </c>
      <c r="H210" s="25">
        <v>24.6</v>
      </c>
      <c r="I210" s="25">
        <v>188</v>
      </c>
      <c r="J210" s="25">
        <v>1.4</v>
      </c>
    </row>
    <row r="211" spans="1:10" ht="12.75" customHeight="1" x14ac:dyDescent="0.25">
      <c r="A211" s="249" t="s">
        <v>151</v>
      </c>
      <c r="B211" s="250"/>
      <c r="C211" s="251"/>
      <c r="D211" s="24">
        <v>180</v>
      </c>
      <c r="E211" s="24" t="s">
        <v>248</v>
      </c>
      <c r="F211" s="13">
        <v>5.22</v>
      </c>
      <c r="G211" s="13">
        <v>4.5</v>
      </c>
      <c r="H211" s="13">
        <v>21.14</v>
      </c>
      <c r="I211" s="13">
        <v>147.19</v>
      </c>
      <c r="J211" s="14">
        <v>2.34</v>
      </c>
    </row>
    <row r="212" spans="1:10" x14ac:dyDescent="0.25">
      <c r="A212" s="243" t="s">
        <v>12</v>
      </c>
      <c r="B212" s="244"/>
      <c r="C212" s="245"/>
      <c r="D212" s="24">
        <f>D211+204+30+10.5</f>
        <v>424.5</v>
      </c>
      <c r="E212" s="24"/>
      <c r="F212" s="22">
        <f>SUM(F209:F211)</f>
        <v>16.099999999999998</v>
      </c>
      <c r="G212" s="22">
        <f t="shared" ref="G212:J212" si="13">SUM(G209:G211)</f>
        <v>18.75</v>
      </c>
      <c r="H212" s="22">
        <f t="shared" si="13"/>
        <v>58.44</v>
      </c>
      <c r="I212" s="22">
        <f t="shared" si="13"/>
        <v>470.17</v>
      </c>
      <c r="J212" s="22">
        <f t="shared" si="13"/>
        <v>3.8099999999999996</v>
      </c>
    </row>
    <row r="213" spans="1:10" x14ac:dyDescent="0.25">
      <c r="A213" s="269" t="s">
        <v>8</v>
      </c>
      <c r="B213" s="269"/>
      <c r="C213" s="269"/>
      <c r="D213" s="269"/>
      <c r="E213" s="269"/>
      <c r="F213" s="269"/>
      <c r="G213" s="269"/>
      <c r="H213" s="269"/>
      <c r="I213" s="269"/>
      <c r="J213" s="25"/>
    </row>
    <row r="214" spans="1:10" x14ac:dyDescent="0.25">
      <c r="A214" s="249" t="s">
        <v>273</v>
      </c>
      <c r="B214" s="250"/>
      <c r="C214" s="251"/>
      <c r="D214" s="10">
        <v>175</v>
      </c>
      <c r="E214" s="10" t="s">
        <v>77</v>
      </c>
      <c r="F214" s="13">
        <v>1.1299999999999999</v>
      </c>
      <c r="G214" s="13">
        <v>0.08</v>
      </c>
      <c r="H214" s="13">
        <v>14.4</v>
      </c>
      <c r="I214" s="13">
        <v>66.75</v>
      </c>
      <c r="J214" s="6">
        <v>0</v>
      </c>
    </row>
    <row r="215" spans="1:10" x14ac:dyDescent="0.25">
      <c r="A215" s="243" t="s">
        <v>12</v>
      </c>
      <c r="B215" s="244"/>
      <c r="C215" s="245"/>
      <c r="D215" s="24">
        <f>SUM(D214)</f>
        <v>175</v>
      </c>
      <c r="E215" s="24"/>
      <c r="F215" s="22">
        <f>SUM(F214:F214)</f>
        <v>1.1299999999999999</v>
      </c>
      <c r="G215" s="22">
        <f>SUM(G214:G214)</f>
        <v>0.08</v>
      </c>
      <c r="H215" s="22">
        <f>SUM(H214:H214)</f>
        <v>14.4</v>
      </c>
      <c r="I215" s="22">
        <f>SUM(I214:I214)</f>
        <v>66.75</v>
      </c>
      <c r="J215" s="22">
        <f>SUM(J214:J214)</f>
        <v>0</v>
      </c>
    </row>
    <row r="216" spans="1:10" x14ac:dyDescent="0.25">
      <c r="A216" s="268" t="s">
        <v>11</v>
      </c>
      <c r="B216" s="268"/>
      <c r="C216" s="268"/>
      <c r="D216" s="268"/>
      <c r="E216" s="268"/>
      <c r="F216" s="268"/>
      <c r="G216" s="268"/>
      <c r="H216" s="268"/>
      <c r="I216" s="268"/>
      <c r="J216" s="25">
        <f>SUM(J214:J215)</f>
        <v>0</v>
      </c>
    </row>
    <row r="217" spans="1:10" ht="42.75" customHeight="1" x14ac:dyDescent="0.25">
      <c r="A217" s="298" t="s">
        <v>330</v>
      </c>
      <c r="B217" s="299"/>
      <c r="C217" s="300"/>
      <c r="D217" s="24">
        <v>60</v>
      </c>
      <c r="E217" s="10" t="s">
        <v>242</v>
      </c>
      <c r="F217" s="10">
        <v>0.68</v>
      </c>
      <c r="G217" s="10">
        <v>4.05</v>
      </c>
      <c r="H217" s="10">
        <v>8.58</v>
      </c>
      <c r="I217" s="10">
        <v>73.44</v>
      </c>
      <c r="J217" s="10">
        <v>2.6</v>
      </c>
    </row>
    <row r="218" spans="1:10" ht="29.25" customHeight="1" x14ac:dyDescent="0.25">
      <c r="A218" s="280" t="s">
        <v>331</v>
      </c>
      <c r="B218" s="280"/>
      <c r="C218" s="280"/>
      <c r="D218" s="26" t="s">
        <v>213</v>
      </c>
      <c r="E218" s="24">
        <v>42.05</v>
      </c>
      <c r="F218" s="25">
        <v>6.41</v>
      </c>
      <c r="G218" s="25">
        <v>10.119999999999999</v>
      </c>
      <c r="H218" s="25">
        <v>10.83</v>
      </c>
      <c r="I218" s="25">
        <v>158.59</v>
      </c>
      <c r="J218" s="25">
        <v>37.700000000000003</v>
      </c>
    </row>
    <row r="219" spans="1:10" x14ac:dyDescent="0.25">
      <c r="A219" s="277" t="s">
        <v>239</v>
      </c>
      <c r="B219" s="278"/>
      <c r="C219" s="279"/>
      <c r="D219" s="14" t="s">
        <v>237</v>
      </c>
      <c r="E219" s="10" t="s">
        <v>279</v>
      </c>
      <c r="F219" s="11">
        <v>15.3</v>
      </c>
      <c r="G219" s="11">
        <v>7.1</v>
      </c>
      <c r="H219" s="11">
        <v>10</v>
      </c>
      <c r="I219" s="11">
        <v>165</v>
      </c>
      <c r="J219" s="14">
        <v>22.6</v>
      </c>
    </row>
    <row r="220" spans="1:10" x14ac:dyDescent="0.25">
      <c r="A220" s="15" t="s">
        <v>108</v>
      </c>
      <c r="B220" s="15"/>
      <c r="C220" s="15"/>
      <c r="D220" s="10">
        <v>150</v>
      </c>
      <c r="E220" s="10">
        <v>510.2004</v>
      </c>
      <c r="F220" s="13">
        <v>4.5999999999999996</v>
      </c>
      <c r="G220" s="13">
        <v>5</v>
      </c>
      <c r="H220" s="13">
        <v>20.8</v>
      </c>
      <c r="I220" s="13">
        <v>147</v>
      </c>
      <c r="J220" s="14">
        <v>0</v>
      </c>
    </row>
    <row r="221" spans="1:10" ht="19.5" customHeight="1" x14ac:dyDescent="0.25">
      <c r="A221" s="295" t="s">
        <v>323</v>
      </c>
      <c r="B221" s="296"/>
      <c r="C221" s="297"/>
      <c r="D221" s="24">
        <v>180</v>
      </c>
      <c r="E221" s="24">
        <v>394.16</v>
      </c>
      <c r="F221" s="25">
        <v>0.28999999999999998</v>
      </c>
      <c r="G221" s="25">
        <v>0.06</v>
      </c>
      <c r="H221" s="25">
        <v>20.14</v>
      </c>
      <c r="I221" s="25">
        <v>82.24</v>
      </c>
      <c r="J221" s="25" t="s">
        <v>77</v>
      </c>
    </row>
    <row r="222" spans="1:10" x14ac:dyDescent="0.25">
      <c r="A222" s="136" t="s">
        <v>23</v>
      </c>
      <c r="B222" s="137"/>
      <c r="C222" s="138"/>
      <c r="D222" s="10">
        <v>45</v>
      </c>
      <c r="E222" s="10" t="s">
        <v>80</v>
      </c>
      <c r="F222" s="13">
        <v>2.75</v>
      </c>
      <c r="G222" s="13">
        <v>0.54</v>
      </c>
      <c r="H222" s="13">
        <v>17.96</v>
      </c>
      <c r="I222" s="13">
        <v>87.66</v>
      </c>
      <c r="J222" s="25">
        <v>0</v>
      </c>
    </row>
    <row r="223" spans="1:10" x14ac:dyDescent="0.25">
      <c r="A223" s="249" t="s">
        <v>13</v>
      </c>
      <c r="B223" s="250"/>
      <c r="C223" s="251"/>
      <c r="D223" s="10">
        <v>20</v>
      </c>
      <c r="E223" s="10" t="s">
        <v>79</v>
      </c>
      <c r="F223" s="13">
        <v>1.52</v>
      </c>
      <c r="G223" s="13">
        <f>0.16</f>
        <v>0.16</v>
      </c>
      <c r="H223" s="13">
        <v>9.84</v>
      </c>
      <c r="I223" s="13">
        <v>46.88</v>
      </c>
      <c r="J223" s="6">
        <v>0</v>
      </c>
    </row>
    <row r="224" spans="1:10" x14ac:dyDescent="0.25">
      <c r="A224" s="237" t="s">
        <v>12</v>
      </c>
      <c r="B224" s="238"/>
      <c r="C224" s="239"/>
      <c r="D224" s="29">
        <f>D217+250+15+70+20+D220+D221+D222+D223</f>
        <v>810</v>
      </c>
      <c r="E224" s="29"/>
      <c r="F224" s="28">
        <f>SUM(F217:F223)</f>
        <v>31.55</v>
      </c>
      <c r="G224" s="28">
        <f>SUM(G217:G223)</f>
        <v>27.029999999999994</v>
      </c>
      <c r="H224" s="28">
        <f>SUM(H217:H223)</f>
        <v>98.15</v>
      </c>
      <c r="I224" s="28">
        <f>SUM(I217:I223)</f>
        <v>760.81</v>
      </c>
      <c r="J224" s="25">
        <f>SUM(J217:J223)</f>
        <v>62.900000000000006</v>
      </c>
    </row>
    <row r="225" spans="1:10" x14ac:dyDescent="0.25">
      <c r="A225" s="268" t="s">
        <v>37</v>
      </c>
      <c r="B225" s="268"/>
      <c r="C225" s="268"/>
      <c r="D225" s="268"/>
      <c r="E225" s="268"/>
      <c r="F225" s="268"/>
      <c r="G225" s="268"/>
      <c r="H225" s="268"/>
      <c r="I225" s="268"/>
      <c r="J225" s="25"/>
    </row>
    <row r="226" spans="1:10" ht="18.75" customHeight="1" x14ac:dyDescent="0.25">
      <c r="A226" s="280" t="s">
        <v>16</v>
      </c>
      <c r="B226" s="280"/>
      <c r="C226" s="280"/>
      <c r="D226" s="10">
        <v>150</v>
      </c>
      <c r="E226" s="10">
        <v>206</v>
      </c>
      <c r="F226" s="13">
        <v>3.22</v>
      </c>
      <c r="G226" s="13">
        <v>3.62</v>
      </c>
      <c r="H226" s="13">
        <v>21.69</v>
      </c>
      <c r="I226" s="13">
        <v>132.32</v>
      </c>
      <c r="J226" s="10">
        <v>25.5</v>
      </c>
    </row>
    <row r="227" spans="1:10" ht="21" customHeight="1" x14ac:dyDescent="0.25">
      <c r="A227" s="249" t="s">
        <v>332</v>
      </c>
      <c r="B227" s="250"/>
      <c r="C227" s="251"/>
      <c r="D227" s="10">
        <v>70</v>
      </c>
      <c r="E227" s="10">
        <v>294.20049999999998</v>
      </c>
      <c r="F227" s="13">
        <v>6.53</v>
      </c>
      <c r="G227" s="13">
        <v>4.2300000000000004</v>
      </c>
      <c r="H227" s="13">
        <v>24.37</v>
      </c>
      <c r="I227" s="13">
        <v>161.69</v>
      </c>
      <c r="J227" s="10">
        <v>0.3</v>
      </c>
    </row>
    <row r="228" spans="1:10" ht="14.45" customHeight="1" x14ac:dyDescent="0.25">
      <c r="A228" s="249" t="s">
        <v>285</v>
      </c>
      <c r="B228" s="250"/>
      <c r="C228" s="251"/>
      <c r="D228" s="10" t="s">
        <v>348</v>
      </c>
      <c r="E228" s="10">
        <v>251</v>
      </c>
      <c r="F228" s="13">
        <f>5.22</f>
        <v>5.22</v>
      </c>
      <c r="G228" s="13">
        <v>5.76</v>
      </c>
      <c r="H228" s="13">
        <f>7.2+3.99</f>
        <v>11.190000000000001</v>
      </c>
      <c r="I228" s="13">
        <f>101.52+15.97</f>
        <v>117.49</v>
      </c>
      <c r="J228" s="25">
        <v>1.26</v>
      </c>
    </row>
    <row r="229" spans="1:10" x14ac:dyDescent="0.25">
      <c r="A229" s="250" t="s">
        <v>13</v>
      </c>
      <c r="B229" s="250"/>
      <c r="C229" s="251"/>
      <c r="D229" s="10">
        <v>25</v>
      </c>
      <c r="E229" s="10" t="s">
        <v>79</v>
      </c>
      <c r="F229" s="13">
        <v>1.9</v>
      </c>
      <c r="G229" s="13">
        <v>0.2</v>
      </c>
      <c r="H229" s="13">
        <v>12.3</v>
      </c>
      <c r="I229" s="13">
        <v>58.6</v>
      </c>
      <c r="J229" s="6" t="s">
        <v>77</v>
      </c>
    </row>
    <row r="230" spans="1:10" x14ac:dyDescent="0.25">
      <c r="A230" s="249" t="s">
        <v>38</v>
      </c>
      <c r="B230" s="250"/>
      <c r="C230" s="251"/>
      <c r="D230" s="24">
        <v>20</v>
      </c>
      <c r="E230" s="24"/>
      <c r="F230" s="25">
        <v>1.53</v>
      </c>
      <c r="G230" s="25">
        <v>2.2000000000000002</v>
      </c>
      <c r="H230" s="25">
        <v>14.2</v>
      </c>
      <c r="I230" s="25">
        <v>82.82</v>
      </c>
      <c r="J230" s="25" t="s">
        <v>77</v>
      </c>
    </row>
    <row r="231" spans="1:10" x14ac:dyDescent="0.25">
      <c r="A231" s="237" t="s">
        <v>12</v>
      </c>
      <c r="B231" s="238"/>
      <c r="C231" s="239"/>
      <c r="D231" s="24">
        <f>D226+D227+D229+D230+185</f>
        <v>450</v>
      </c>
      <c r="E231" s="24"/>
      <c r="F231" s="22">
        <f>SUM(F226:F230)</f>
        <v>18.399999999999999</v>
      </c>
      <c r="G231" s="22">
        <f t="shared" ref="G231:J231" si="14">SUM(G226:G230)</f>
        <v>16.009999999999998</v>
      </c>
      <c r="H231" s="22">
        <f t="shared" si="14"/>
        <v>83.75</v>
      </c>
      <c r="I231" s="22">
        <f t="shared" si="14"/>
        <v>552.92000000000007</v>
      </c>
      <c r="J231" s="22">
        <f t="shared" si="14"/>
        <v>27.060000000000002</v>
      </c>
    </row>
    <row r="232" spans="1:10" x14ac:dyDescent="0.25">
      <c r="A232" s="243" t="s">
        <v>14</v>
      </c>
      <c r="B232" s="244"/>
      <c r="C232" s="245"/>
      <c r="D232" s="172"/>
      <c r="E232" s="172"/>
      <c r="F232" s="22">
        <f>F231+F224+F215+F212</f>
        <v>67.180000000000007</v>
      </c>
      <c r="G232" s="22">
        <f t="shared" ref="G232:J232" si="15">G231+G224+G215+G212</f>
        <v>61.86999999999999</v>
      </c>
      <c r="H232" s="22">
        <f t="shared" si="15"/>
        <v>254.74</v>
      </c>
      <c r="I232" s="22">
        <f t="shared" si="15"/>
        <v>1850.65</v>
      </c>
      <c r="J232" s="22">
        <f t="shared" si="15"/>
        <v>93.77000000000001</v>
      </c>
    </row>
    <row r="233" spans="1:10" ht="43.5" x14ac:dyDescent="0.25">
      <c r="A233" s="269" t="s">
        <v>0</v>
      </c>
      <c r="B233" s="269"/>
      <c r="C233" s="269"/>
      <c r="D233" s="172" t="s">
        <v>1</v>
      </c>
      <c r="E233" s="172" t="s">
        <v>2</v>
      </c>
      <c r="F233" s="22" t="s">
        <v>3</v>
      </c>
      <c r="G233" s="22" t="s">
        <v>4</v>
      </c>
      <c r="H233" s="22" t="s">
        <v>28</v>
      </c>
      <c r="I233" s="23" t="s">
        <v>75</v>
      </c>
      <c r="J233" s="22" t="s">
        <v>76</v>
      </c>
    </row>
    <row r="234" spans="1:10" x14ac:dyDescent="0.25">
      <c r="A234" s="268" t="s">
        <v>21</v>
      </c>
      <c r="B234" s="268"/>
      <c r="C234" s="268"/>
      <c r="D234" s="268"/>
      <c r="E234" s="268"/>
      <c r="F234" s="268"/>
      <c r="G234" s="268"/>
      <c r="H234" s="268"/>
      <c r="I234" s="268"/>
      <c r="J234" s="268"/>
    </row>
    <row r="235" spans="1:10" x14ac:dyDescent="0.25">
      <c r="A235" s="268" t="s">
        <v>18</v>
      </c>
      <c r="B235" s="268"/>
      <c r="C235" s="268"/>
      <c r="D235" s="268"/>
      <c r="E235" s="268"/>
      <c r="F235" s="268"/>
      <c r="G235" s="268"/>
      <c r="H235" s="268"/>
      <c r="I235" s="268"/>
      <c r="J235" s="268"/>
    </row>
    <row r="236" spans="1:10" x14ac:dyDescent="0.25">
      <c r="A236" s="290" t="s">
        <v>9</v>
      </c>
      <c r="B236" s="290"/>
      <c r="C236" s="290"/>
      <c r="D236" s="290"/>
      <c r="E236" s="290"/>
      <c r="F236" s="290"/>
      <c r="G236" s="290"/>
      <c r="H236" s="290"/>
      <c r="I236" s="290"/>
      <c r="J236" s="290"/>
    </row>
    <row r="237" spans="1:10" x14ac:dyDescent="0.25">
      <c r="A237" s="294" t="s">
        <v>282</v>
      </c>
      <c r="B237" s="294"/>
      <c r="C237" s="294"/>
      <c r="D237" s="135" t="s">
        <v>103</v>
      </c>
      <c r="E237" s="10" t="s">
        <v>143</v>
      </c>
      <c r="F237" s="13">
        <v>1.92</v>
      </c>
      <c r="G237" s="13">
        <v>4.3600000000000003</v>
      </c>
      <c r="H237" s="13">
        <v>12.7</v>
      </c>
      <c r="I237" s="13">
        <v>98.8</v>
      </c>
      <c r="J237" s="25">
        <v>0</v>
      </c>
    </row>
    <row r="238" spans="1:10" ht="29.25" customHeight="1" x14ac:dyDescent="0.25">
      <c r="A238" s="280" t="s">
        <v>180</v>
      </c>
      <c r="B238" s="280"/>
      <c r="C238" s="280"/>
      <c r="D238" s="10" t="s">
        <v>203</v>
      </c>
      <c r="E238" s="10">
        <v>91.200500000000005</v>
      </c>
      <c r="F238" s="13">
        <v>5.2</v>
      </c>
      <c r="G238" s="13">
        <v>5.9</v>
      </c>
      <c r="H238" s="13">
        <v>27.9</v>
      </c>
      <c r="I238" s="13">
        <v>186</v>
      </c>
      <c r="J238" s="10">
        <v>1.39</v>
      </c>
    </row>
    <row r="239" spans="1:10" ht="14.45" customHeight="1" x14ac:dyDescent="0.25">
      <c r="A239" s="252" t="s">
        <v>73</v>
      </c>
      <c r="B239" s="252"/>
      <c r="C239" s="252"/>
      <c r="D239" s="12">
        <v>180</v>
      </c>
      <c r="E239" s="10" t="s">
        <v>199</v>
      </c>
      <c r="F239" s="25">
        <v>0</v>
      </c>
      <c r="G239" s="25">
        <v>0</v>
      </c>
      <c r="H239" s="25">
        <v>10</v>
      </c>
      <c r="I239" s="25">
        <v>40</v>
      </c>
      <c r="J239" s="25">
        <v>0</v>
      </c>
    </row>
    <row r="240" spans="1:10" x14ac:dyDescent="0.25">
      <c r="A240" s="243" t="s">
        <v>12</v>
      </c>
      <c r="B240" s="244"/>
      <c r="C240" s="245"/>
      <c r="D240" s="24">
        <f>D239+204+30</f>
        <v>414</v>
      </c>
      <c r="E240" s="24"/>
      <c r="F240" s="22">
        <f>SUM(F237:F239)</f>
        <v>7.12</v>
      </c>
      <c r="G240" s="22">
        <f t="shared" ref="G240:J240" si="16">SUM(G237:G239)</f>
        <v>10.260000000000002</v>
      </c>
      <c r="H240" s="22">
        <f t="shared" si="16"/>
        <v>50.599999999999994</v>
      </c>
      <c r="I240" s="22">
        <f t="shared" si="16"/>
        <v>324.8</v>
      </c>
      <c r="J240" s="22">
        <f t="shared" si="16"/>
        <v>1.39</v>
      </c>
    </row>
    <row r="241" spans="1:10" x14ac:dyDescent="0.25">
      <c r="A241" s="269" t="s">
        <v>8</v>
      </c>
      <c r="B241" s="269"/>
      <c r="C241" s="269"/>
      <c r="D241" s="269"/>
      <c r="E241" s="269"/>
      <c r="F241" s="269"/>
      <c r="G241" s="269"/>
      <c r="H241" s="269"/>
      <c r="I241" s="269"/>
      <c r="J241" s="25"/>
    </row>
    <row r="242" spans="1:10" x14ac:dyDescent="0.25">
      <c r="A242" s="249" t="s">
        <v>61</v>
      </c>
      <c r="B242" s="250"/>
      <c r="C242" s="251"/>
      <c r="D242" s="24">
        <v>180</v>
      </c>
      <c r="E242" s="24" t="s">
        <v>245</v>
      </c>
      <c r="F242" s="25">
        <v>0.9</v>
      </c>
      <c r="G242" s="25">
        <v>0.18</v>
      </c>
      <c r="H242" s="25">
        <v>18.18</v>
      </c>
      <c r="I242" s="25">
        <v>77.94</v>
      </c>
      <c r="J242" s="25">
        <v>3.6</v>
      </c>
    </row>
    <row r="243" spans="1:10" x14ac:dyDescent="0.25">
      <c r="A243" s="320" t="s">
        <v>12</v>
      </c>
      <c r="B243" s="321"/>
      <c r="C243" s="322"/>
      <c r="D243" s="24"/>
      <c r="E243" s="24"/>
      <c r="F243" s="22">
        <f>SUM(F242)</f>
        <v>0.9</v>
      </c>
      <c r="G243" s="22">
        <f t="shared" ref="G243:J243" si="17">SUM(G242)</f>
        <v>0.18</v>
      </c>
      <c r="H243" s="22">
        <f t="shared" si="17"/>
        <v>18.18</v>
      </c>
      <c r="I243" s="22">
        <f t="shared" si="17"/>
        <v>77.94</v>
      </c>
      <c r="J243" s="22">
        <f t="shared" si="17"/>
        <v>3.6</v>
      </c>
    </row>
    <row r="244" spans="1:10" x14ac:dyDescent="0.25">
      <c r="A244" s="268" t="s">
        <v>11</v>
      </c>
      <c r="B244" s="268"/>
      <c r="C244" s="268"/>
      <c r="D244" s="268"/>
      <c r="E244" s="268"/>
      <c r="F244" s="268"/>
      <c r="G244" s="268"/>
      <c r="H244" s="268"/>
      <c r="I244" s="268"/>
      <c r="J244" s="25"/>
    </row>
    <row r="245" spans="1:10" x14ac:dyDescent="0.25">
      <c r="A245" s="266" t="s">
        <v>96</v>
      </c>
      <c r="B245" s="266"/>
      <c r="C245" s="266"/>
      <c r="D245" s="14">
        <v>60</v>
      </c>
      <c r="E245" s="14">
        <v>78.200400000000002</v>
      </c>
      <c r="F245" s="11">
        <v>0.88</v>
      </c>
      <c r="G245" s="11">
        <v>2.0699999999999998</v>
      </c>
      <c r="H245" s="11">
        <v>5.85</v>
      </c>
      <c r="I245" s="11">
        <v>45.49</v>
      </c>
      <c r="J245" s="10">
        <v>5.92</v>
      </c>
    </row>
    <row r="246" spans="1:10" ht="31.9" customHeight="1" x14ac:dyDescent="0.25">
      <c r="A246" s="298" t="s">
        <v>215</v>
      </c>
      <c r="B246" s="299"/>
      <c r="C246" s="300"/>
      <c r="D246" s="12" t="s">
        <v>205</v>
      </c>
      <c r="E246" s="10">
        <v>56.200499999999998</v>
      </c>
      <c r="F246" s="13">
        <f>2.05+1.94</f>
        <v>3.9899999999999998</v>
      </c>
      <c r="G246" s="13">
        <f>6.69+1.77</f>
        <v>8.4600000000000009</v>
      </c>
      <c r="H246" s="13">
        <f>10.64+0.41</f>
        <v>11.05</v>
      </c>
      <c r="I246" s="13">
        <f>106.75+25.33</f>
        <v>132.07999999999998</v>
      </c>
      <c r="J246" s="13">
        <f>0.5+48.3</f>
        <v>48.8</v>
      </c>
    </row>
    <row r="247" spans="1:10" x14ac:dyDescent="0.25">
      <c r="A247" s="249" t="s">
        <v>200</v>
      </c>
      <c r="B247" s="250"/>
      <c r="C247" s="251"/>
      <c r="D247" s="10">
        <v>70</v>
      </c>
      <c r="E247" s="10" t="s">
        <v>241</v>
      </c>
      <c r="F247" s="25">
        <v>12.56</v>
      </c>
      <c r="G247" s="25">
        <v>11.2</v>
      </c>
      <c r="H247" s="25">
        <v>13.18</v>
      </c>
      <c r="I247" s="25">
        <v>197</v>
      </c>
      <c r="J247" s="25">
        <v>0.8</v>
      </c>
    </row>
    <row r="248" spans="1:10" x14ac:dyDescent="0.25">
      <c r="A248" s="277" t="s">
        <v>216</v>
      </c>
      <c r="B248" s="278"/>
      <c r="C248" s="279"/>
      <c r="D248" s="14">
        <v>150</v>
      </c>
      <c r="E248" s="10" t="s">
        <v>252</v>
      </c>
      <c r="F248" s="11">
        <v>5.23</v>
      </c>
      <c r="G248" s="11">
        <v>6.02</v>
      </c>
      <c r="H248" s="11">
        <v>31.9</v>
      </c>
      <c r="I248" s="11">
        <v>202.62</v>
      </c>
      <c r="J248" s="14">
        <v>5.4</v>
      </c>
    </row>
    <row r="249" spans="1:10" x14ac:dyDescent="0.25">
      <c r="A249" s="295" t="s">
        <v>323</v>
      </c>
      <c r="B249" s="296"/>
      <c r="C249" s="297"/>
      <c r="D249" s="24">
        <v>180</v>
      </c>
      <c r="E249" s="24">
        <v>394.16</v>
      </c>
      <c r="F249" s="25">
        <v>0.64</v>
      </c>
      <c r="G249" s="25">
        <v>0.04</v>
      </c>
      <c r="H249" s="25">
        <v>18.3</v>
      </c>
      <c r="I249" s="25">
        <v>76.11</v>
      </c>
      <c r="J249" s="25">
        <v>0.5</v>
      </c>
    </row>
    <row r="250" spans="1:10" x14ac:dyDescent="0.25">
      <c r="A250" s="136" t="s">
        <v>23</v>
      </c>
      <c r="B250" s="137"/>
      <c r="C250" s="138"/>
      <c r="D250" s="10">
        <v>45</v>
      </c>
      <c r="E250" s="10" t="s">
        <v>80</v>
      </c>
      <c r="F250" s="13">
        <v>2.75</v>
      </c>
      <c r="G250" s="13">
        <v>0.54</v>
      </c>
      <c r="H250" s="13">
        <v>17.96</v>
      </c>
      <c r="I250" s="13">
        <v>87.66</v>
      </c>
      <c r="J250" s="25">
        <v>0</v>
      </c>
    </row>
    <row r="251" spans="1:10" x14ac:dyDescent="0.25">
      <c r="A251" s="249" t="s">
        <v>13</v>
      </c>
      <c r="B251" s="250"/>
      <c r="C251" s="251"/>
      <c r="D251" s="10">
        <v>20</v>
      </c>
      <c r="E251" s="10" t="s">
        <v>79</v>
      </c>
      <c r="F251" s="13">
        <v>1.52</v>
      </c>
      <c r="G251" s="13">
        <f>0.16</f>
        <v>0.16</v>
      </c>
      <c r="H251" s="13">
        <v>9.84</v>
      </c>
      <c r="I251" s="13">
        <v>46.88</v>
      </c>
      <c r="J251" s="6">
        <v>0</v>
      </c>
    </row>
    <row r="252" spans="1:10" x14ac:dyDescent="0.25">
      <c r="A252" s="243" t="s">
        <v>12</v>
      </c>
      <c r="B252" s="244"/>
      <c r="C252" s="245"/>
      <c r="D252" s="24">
        <f>D251+D250+D249+D248+D247+D245+250+10+10</f>
        <v>795</v>
      </c>
      <c r="E252" s="24"/>
      <c r="F252" s="22">
        <f>SUM(F245:F251)</f>
        <v>27.57</v>
      </c>
      <c r="G252" s="22">
        <f t="shared" ref="G252:J252" si="18">SUM(G245:G251)</f>
        <v>28.49</v>
      </c>
      <c r="H252" s="22">
        <f t="shared" si="18"/>
        <v>108.08000000000001</v>
      </c>
      <c r="I252" s="22">
        <f t="shared" si="18"/>
        <v>787.84</v>
      </c>
      <c r="J252" s="22">
        <f t="shared" si="18"/>
        <v>61.419999999999995</v>
      </c>
    </row>
    <row r="253" spans="1:10" x14ac:dyDescent="0.25">
      <c r="A253" s="268" t="s">
        <v>37</v>
      </c>
      <c r="B253" s="268"/>
      <c r="C253" s="268"/>
      <c r="D253" s="268"/>
      <c r="E253" s="268"/>
      <c r="F253" s="268"/>
      <c r="G253" s="268"/>
      <c r="H253" s="268"/>
      <c r="I253" s="268"/>
      <c r="J253" s="25"/>
    </row>
    <row r="254" spans="1:10" ht="28.5" customHeight="1" x14ac:dyDescent="0.25">
      <c r="A254" s="327" t="s">
        <v>300</v>
      </c>
      <c r="B254" s="327"/>
      <c r="C254" s="327"/>
      <c r="D254" s="14" t="s">
        <v>288</v>
      </c>
      <c r="E254" s="14" t="s">
        <v>353</v>
      </c>
      <c r="F254" s="11">
        <f>23.79+0.57</f>
        <v>24.36</v>
      </c>
      <c r="G254" s="11">
        <f>10.12+1.26</f>
        <v>11.379999999999999</v>
      </c>
      <c r="H254" s="11">
        <f>30.03+3.59</f>
        <v>33.620000000000005</v>
      </c>
      <c r="I254" s="11">
        <f>303.63+28.01</f>
        <v>331.64</v>
      </c>
      <c r="J254" s="14">
        <f>7.96+0.2</f>
        <v>8.16</v>
      </c>
    </row>
    <row r="255" spans="1:10" x14ac:dyDescent="0.25">
      <c r="A255" s="249" t="s">
        <v>285</v>
      </c>
      <c r="B255" s="250"/>
      <c r="C255" s="251"/>
      <c r="D255" s="10" t="s">
        <v>348</v>
      </c>
      <c r="E255" s="10">
        <v>251</v>
      </c>
      <c r="F255" s="13">
        <f>5.22</f>
        <v>5.22</v>
      </c>
      <c r="G255" s="13">
        <v>5.76</v>
      </c>
      <c r="H255" s="13">
        <f>7.2+3.99</f>
        <v>11.190000000000001</v>
      </c>
      <c r="I255" s="13">
        <f>101.52+15.97</f>
        <v>117.49</v>
      </c>
      <c r="J255" s="25">
        <v>1.26</v>
      </c>
    </row>
    <row r="256" spans="1:10" x14ac:dyDescent="0.25">
      <c r="A256" s="249" t="s">
        <v>273</v>
      </c>
      <c r="B256" s="250"/>
      <c r="C256" s="251"/>
      <c r="D256" s="10">
        <v>75</v>
      </c>
      <c r="E256" s="10"/>
      <c r="F256" s="13">
        <v>0.3</v>
      </c>
      <c r="G256" s="13">
        <v>0.3</v>
      </c>
      <c r="H256" s="13">
        <v>7.35</v>
      </c>
      <c r="I256" s="13">
        <v>33.299999999999997</v>
      </c>
      <c r="J256" s="14">
        <v>7.5</v>
      </c>
    </row>
    <row r="257" spans="1:10" x14ac:dyDescent="0.25">
      <c r="A257" s="249" t="s">
        <v>13</v>
      </c>
      <c r="B257" s="250"/>
      <c r="C257" s="251"/>
      <c r="D257" s="24">
        <v>25</v>
      </c>
      <c r="E257" s="24" t="s">
        <v>81</v>
      </c>
      <c r="F257" s="25">
        <v>1.9</v>
      </c>
      <c r="G257" s="25">
        <v>0.2</v>
      </c>
      <c r="H257" s="25">
        <v>12.3</v>
      </c>
      <c r="I257" s="25">
        <v>58.6</v>
      </c>
      <c r="J257" s="25">
        <v>0</v>
      </c>
    </row>
    <row r="258" spans="1:10" x14ac:dyDescent="0.25">
      <c r="A258" s="243" t="s">
        <v>12</v>
      </c>
      <c r="B258" s="244"/>
      <c r="C258" s="245"/>
      <c r="D258" s="172">
        <f>150+15+185+D256+D257</f>
        <v>450</v>
      </c>
      <c r="E258" s="172"/>
      <c r="F258" s="22">
        <f>SUM(F254:F257)</f>
        <v>31.779999999999998</v>
      </c>
      <c r="G258" s="22">
        <f t="shared" ref="G258:J258" si="19">SUM(G254:G257)</f>
        <v>17.64</v>
      </c>
      <c r="H258" s="22">
        <f t="shared" si="19"/>
        <v>64.460000000000008</v>
      </c>
      <c r="I258" s="22">
        <f t="shared" si="19"/>
        <v>541.03</v>
      </c>
      <c r="J258" s="22">
        <f t="shared" si="19"/>
        <v>16.920000000000002</v>
      </c>
    </row>
    <row r="259" spans="1:10" ht="22.5" customHeight="1" x14ac:dyDescent="0.25">
      <c r="A259" s="243" t="s">
        <v>14</v>
      </c>
      <c r="B259" s="244"/>
      <c r="C259" s="245"/>
      <c r="D259" s="172"/>
      <c r="E259" s="172"/>
      <c r="F259" s="22">
        <f>F258+F252+F243+F240</f>
        <v>67.36999999999999</v>
      </c>
      <c r="G259" s="22">
        <f t="shared" ref="G259:J259" si="20">G258+G252+G243+G240</f>
        <v>56.569999999999993</v>
      </c>
      <c r="H259" s="22">
        <f t="shared" si="20"/>
        <v>241.32000000000002</v>
      </c>
      <c r="I259" s="22">
        <f t="shared" si="20"/>
        <v>1731.61</v>
      </c>
      <c r="J259" s="22">
        <f t="shared" si="20"/>
        <v>83.33</v>
      </c>
    </row>
    <row r="260" spans="1:10" ht="43.5" x14ac:dyDescent="0.25">
      <c r="A260" s="269" t="s">
        <v>0</v>
      </c>
      <c r="B260" s="269"/>
      <c r="C260" s="269"/>
      <c r="D260" s="172" t="s">
        <v>1</v>
      </c>
      <c r="E260" s="172" t="s">
        <v>2</v>
      </c>
      <c r="F260" s="22" t="s">
        <v>3</v>
      </c>
      <c r="G260" s="22" t="s">
        <v>4</v>
      </c>
      <c r="H260" s="22" t="s">
        <v>28</v>
      </c>
      <c r="I260" s="23" t="s">
        <v>75</v>
      </c>
      <c r="J260" s="22" t="s">
        <v>76</v>
      </c>
    </row>
    <row r="261" spans="1:10" x14ac:dyDescent="0.25">
      <c r="A261" s="269" t="s">
        <v>21</v>
      </c>
      <c r="B261" s="269"/>
      <c r="C261" s="269"/>
      <c r="D261" s="269"/>
      <c r="E261" s="269"/>
      <c r="F261" s="269"/>
      <c r="G261" s="269"/>
      <c r="H261" s="269"/>
      <c r="I261" s="269"/>
      <c r="J261" s="269"/>
    </row>
    <row r="262" spans="1:10" x14ac:dyDescent="0.25">
      <c r="A262" s="269" t="s">
        <v>20</v>
      </c>
      <c r="B262" s="269"/>
      <c r="C262" s="269"/>
      <c r="D262" s="269"/>
      <c r="E262" s="269"/>
      <c r="F262" s="269"/>
      <c r="G262" s="269"/>
      <c r="H262" s="269"/>
      <c r="I262" s="269"/>
      <c r="J262" s="269"/>
    </row>
    <row r="263" spans="1:10" x14ac:dyDescent="0.25">
      <c r="A263" s="269" t="s">
        <v>9</v>
      </c>
      <c r="B263" s="269"/>
      <c r="C263" s="269"/>
      <c r="D263" s="269"/>
      <c r="E263" s="269"/>
      <c r="F263" s="269"/>
      <c r="G263" s="269"/>
      <c r="H263" s="269"/>
      <c r="I263" s="269"/>
      <c r="J263" s="25"/>
    </row>
    <row r="264" spans="1:10" ht="28.15" customHeight="1" x14ac:dyDescent="0.25">
      <c r="A264" s="294" t="s">
        <v>315</v>
      </c>
      <c r="B264" s="294"/>
      <c r="C264" s="294"/>
      <c r="D264" s="135" t="s">
        <v>103</v>
      </c>
      <c r="E264" s="10" t="s">
        <v>143</v>
      </c>
      <c r="F264" s="13">
        <v>1.92</v>
      </c>
      <c r="G264" s="13">
        <v>4.3600000000000003</v>
      </c>
      <c r="H264" s="13">
        <v>12.7</v>
      </c>
      <c r="I264" s="13">
        <v>98.8</v>
      </c>
      <c r="J264" s="25">
        <v>0</v>
      </c>
    </row>
    <row r="265" spans="1:10" ht="25.9" customHeight="1" x14ac:dyDescent="0.25">
      <c r="A265" s="240" t="s">
        <v>181</v>
      </c>
      <c r="B265" s="241"/>
      <c r="C265" s="242"/>
      <c r="D265" s="139" t="s">
        <v>203</v>
      </c>
      <c r="E265" s="10">
        <v>84.200500000000005</v>
      </c>
      <c r="F265" s="11">
        <v>5.49</v>
      </c>
      <c r="G265" s="11">
        <v>6.06</v>
      </c>
      <c r="H265" s="11">
        <v>28.06</v>
      </c>
      <c r="I265" s="11">
        <v>189.37</v>
      </c>
      <c r="J265" s="10">
        <v>1.33</v>
      </c>
    </row>
    <row r="266" spans="1:10" ht="14.45" customHeight="1" x14ac:dyDescent="0.25">
      <c r="A266" s="249" t="s">
        <v>22</v>
      </c>
      <c r="B266" s="250"/>
      <c r="C266" s="251"/>
      <c r="D266" s="10">
        <v>180</v>
      </c>
      <c r="E266" s="10" t="s">
        <v>246</v>
      </c>
      <c r="F266" s="11">
        <v>1.22</v>
      </c>
      <c r="G266" s="11">
        <v>1.05</v>
      </c>
      <c r="H266" s="11">
        <v>12.01</v>
      </c>
      <c r="I266" s="11">
        <v>62.65</v>
      </c>
      <c r="J266" s="10">
        <v>0.55000000000000004</v>
      </c>
    </row>
    <row r="267" spans="1:10" x14ac:dyDescent="0.25">
      <c r="A267" s="243" t="s">
        <v>12</v>
      </c>
      <c r="B267" s="244"/>
      <c r="C267" s="245"/>
      <c r="D267" s="24">
        <f>30+204+D266</f>
        <v>414</v>
      </c>
      <c r="E267" s="24"/>
      <c r="F267" s="22">
        <f>SUM(F264:F266)</f>
        <v>8.6300000000000008</v>
      </c>
      <c r="G267" s="22">
        <f t="shared" ref="G267:J267" si="21">SUM(G264:G266)</f>
        <v>11.47</v>
      </c>
      <c r="H267" s="22">
        <f t="shared" si="21"/>
        <v>52.769999999999996</v>
      </c>
      <c r="I267" s="22">
        <f t="shared" si="21"/>
        <v>350.82</v>
      </c>
      <c r="J267" s="22">
        <f t="shared" si="21"/>
        <v>1.8800000000000001</v>
      </c>
    </row>
    <row r="268" spans="1:10" x14ac:dyDescent="0.25">
      <c r="A268" s="269" t="s">
        <v>8</v>
      </c>
      <c r="B268" s="269"/>
      <c r="C268" s="269"/>
      <c r="D268" s="269"/>
      <c r="E268" s="269"/>
      <c r="F268" s="269"/>
      <c r="G268" s="269"/>
      <c r="H268" s="269"/>
      <c r="I268" s="269"/>
      <c r="J268" s="25"/>
    </row>
    <row r="269" spans="1:10" ht="14.45" customHeight="1" x14ac:dyDescent="0.25">
      <c r="A269" s="249" t="s">
        <v>273</v>
      </c>
      <c r="B269" s="250"/>
      <c r="C269" s="251"/>
      <c r="D269" s="10">
        <v>75</v>
      </c>
      <c r="E269" s="10"/>
      <c r="F269" s="13">
        <v>0.3</v>
      </c>
      <c r="G269" s="13">
        <v>0.3</v>
      </c>
      <c r="H269" s="13">
        <v>7.35</v>
      </c>
      <c r="I269" s="13">
        <v>33.299999999999997</v>
      </c>
      <c r="J269" s="14">
        <v>7.5</v>
      </c>
    </row>
    <row r="270" spans="1:10" x14ac:dyDescent="0.25">
      <c r="A270" s="243" t="s">
        <v>12</v>
      </c>
      <c r="B270" s="244"/>
      <c r="C270" s="245"/>
      <c r="D270" s="24">
        <f>SUM(D269)</f>
        <v>75</v>
      </c>
      <c r="E270" s="24"/>
      <c r="F270" s="22">
        <f>SUM(F269:F269)</f>
        <v>0.3</v>
      </c>
      <c r="G270" s="22">
        <f>SUM(G269:G269)</f>
        <v>0.3</v>
      </c>
      <c r="H270" s="22">
        <f>SUM(H269:H269)</f>
        <v>7.35</v>
      </c>
      <c r="I270" s="22">
        <f>SUM(I269:I269)</f>
        <v>33.299999999999997</v>
      </c>
      <c r="J270" s="22">
        <f>SUM(J269:J269)</f>
        <v>7.5</v>
      </c>
    </row>
    <row r="271" spans="1:10" x14ac:dyDescent="0.25">
      <c r="A271" s="269" t="s">
        <v>11</v>
      </c>
      <c r="B271" s="269"/>
      <c r="C271" s="269"/>
      <c r="D271" s="269"/>
      <c r="E271" s="269"/>
      <c r="F271" s="269"/>
      <c r="G271" s="269"/>
      <c r="H271" s="269"/>
      <c r="I271" s="269"/>
      <c r="J271" s="25"/>
    </row>
    <row r="272" spans="1:10" x14ac:dyDescent="0.25">
      <c r="A272" s="304" t="s">
        <v>125</v>
      </c>
      <c r="B272" s="304"/>
      <c r="C272" s="304"/>
      <c r="D272" s="14">
        <v>60</v>
      </c>
      <c r="E272" s="14">
        <v>10.050000000000001</v>
      </c>
      <c r="F272" s="11">
        <v>0.55000000000000004</v>
      </c>
      <c r="G272" s="11">
        <v>3.6</v>
      </c>
      <c r="H272" s="11">
        <v>9.08</v>
      </c>
      <c r="I272" s="11">
        <v>70.86</v>
      </c>
      <c r="J272" s="14">
        <v>3.4</v>
      </c>
    </row>
    <row r="273" spans="1:10" ht="30" customHeight="1" x14ac:dyDescent="0.25">
      <c r="A273" s="307" t="s">
        <v>232</v>
      </c>
      <c r="B273" s="308"/>
      <c r="C273" s="309"/>
      <c r="D273" s="12" t="s">
        <v>224</v>
      </c>
      <c r="E273" s="10">
        <v>27.200500000000002</v>
      </c>
      <c r="F273" s="13">
        <f>1.9+1.94</f>
        <v>3.84</v>
      </c>
      <c r="G273" s="13">
        <f>5.32+1.77</f>
        <v>7.09</v>
      </c>
      <c r="H273" s="13">
        <f>10.38+0.41</f>
        <v>10.790000000000001</v>
      </c>
      <c r="I273" s="13">
        <f>90.35+25.33</f>
        <v>115.67999999999999</v>
      </c>
      <c r="J273" s="10">
        <f>34.23+0.5</f>
        <v>34.729999999999997</v>
      </c>
    </row>
    <row r="274" spans="1:10" x14ac:dyDescent="0.25">
      <c r="A274" s="324" t="s">
        <v>218</v>
      </c>
      <c r="B274" s="325"/>
      <c r="C274" s="326"/>
      <c r="D274" s="33">
        <v>250</v>
      </c>
      <c r="E274" s="24">
        <v>162.20050000000001</v>
      </c>
      <c r="F274" s="25">
        <v>16.649999999999999</v>
      </c>
      <c r="G274" s="25">
        <v>17.559999999999999</v>
      </c>
      <c r="H274" s="25">
        <v>30.77</v>
      </c>
      <c r="I274" s="25">
        <v>351.65</v>
      </c>
      <c r="J274" s="25">
        <v>37.15</v>
      </c>
    </row>
    <row r="275" spans="1:10" x14ac:dyDescent="0.25">
      <c r="A275" s="250" t="s">
        <v>249</v>
      </c>
      <c r="B275" s="250"/>
      <c r="C275" s="251"/>
      <c r="D275" s="10">
        <v>180</v>
      </c>
      <c r="E275" s="24">
        <v>241.05</v>
      </c>
      <c r="F275" s="13">
        <v>0.14000000000000001</v>
      </c>
      <c r="G275" s="13">
        <v>0.14000000000000001</v>
      </c>
      <c r="H275" s="13">
        <v>15.51</v>
      </c>
      <c r="I275" s="13">
        <v>63.88</v>
      </c>
      <c r="J275" s="6">
        <v>3.6</v>
      </c>
    </row>
    <row r="276" spans="1:10" x14ac:dyDescent="0.25">
      <c r="A276" s="136" t="s">
        <v>23</v>
      </c>
      <c r="B276" s="137"/>
      <c r="C276" s="138"/>
      <c r="D276" s="10">
        <v>45</v>
      </c>
      <c r="E276" s="10" t="s">
        <v>80</v>
      </c>
      <c r="F276" s="13">
        <v>2.75</v>
      </c>
      <c r="G276" s="13">
        <v>0.54</v>
      </c>
      <c r="H276" s="13">
        <v>17.96</v>
      </c>
      <c r="I276" s="13">
        <v>87.66</v>
      </c>
      <c r="J276" s="25">
        <v>0</v>
      </c>
    </row>
    <row r="277" spans="1:10" x14ac:dyDescent="0.25">
      <c r="A277" s="249" t="s">
        <v>13</v>
      </c>
      <c r="B277" s="250"/>
      <c r="C277" s="251"/>
      <c r="D277" s="10">
        <v>20</v>
      </c>
      <c r="E277" s="10" t="s">
        <v>79</v>
      </c>
      <c r="F277" s="13">
        <v>1.52</v>
      </c>
      <c r="G277" s="13">
        <f>0.16</f>
        <v>0.16</v>
      </c>
      <c r="H277" s="13">
        <v>9.84</v>
      </c>
      <c r="I277" s="13">
        <v>46.88</v>
      </c>
      <c r="J277" s="6">
        <v>0</v>
      </c>
    </row>
    <row r="278" spans="1:10" x14ac:dyDescent="0.25">
      <c r="A278" s="173" t="s">
        <v>12</v>
      </c>
      <c r="B278" s="174"/>
      <c r="C278" s="175"/>
      <c r="D278" s="24">
        <f>D277+D276+D275+D274+D272+250+10+15</f>
        <v>830</v>
      </c>
      <c r="E278" s="24"/>
      <c r="F278" s="22">
        <f>SUM(F272:F277)</f>
        <v>25.45</v>
      </c>
      <c r="G278" s="22">
        <f t="shared" ref="G278:J278" si="22">SUM(G272:G277)</f>
        <v>29.09</v>
      </c>
      <c r="H278" s="22">
        <f t="shared" si="22"/>
        <v>93.950000000000017</v>
      </c>
      <c r="I278" s="22">
        <f t="shared" si="22"/>
        <v>736.6099999999999</v>
      </c>
      <c r="J278" s="22">
        <f t="shared" si="22"/>
        <v>78.88</v>
      </c>
    </row>
    <row r="279" spans="1:10" x14ac:dyDescent="0.25">
      <c r="A279" s="285" t="s">
        <v>37</v>
      </c>
      <c r="B279" s="286"/>
      <c r="C279" s="286"/>
      <c r="D279" s="286"/>
      <c r="E279" s="286"/>
      <c r="F279" s="286"/>
      <c r="G279" s="286"/>
      <c r="H279" s="286"/>
      <c r="I279" s="286"/>
      <c r="J279" s="287"/>
    </row>
    <row r="280" spans="1:10" ht="34.5" customHeight="1" x14ac:dyDescent="0.25">
      <c r="A280" s="280" t="s">
        <v>27</v>
      </c>
      <c r="B280" s="280"/>
      <c r="C280" s="280"/>
      <c r="D280" s="10">
        <v>200</v>
      </c>
      <c r="E280" s="10" t="s">
        <v>30</v>
      </c>
      <c r="F280" s="11">
        <v>5.84</v>
      </c>
      <c r="G280" s="11">
        <v>5.16</v>
      </c>
      <c r="H280" s="11">
        <v>20.03</v>
      </c>
      <c r="I280" s="11">
        <v>150.83000000000001</v>
      </c>
      <c r="J280" s="25">
        <v>1.82</v>
      </c>
    </row>
    <row r="281" spans="1:10" x14ac:dyDescent="0.25">
      <c r="A281" s="277" t="s">
        <v>116</v>
      </c>
      <c r="B281" s="278"/>
      <c r="C281" s="279"/>
      <c r="D281" s="33">
        <v>90</v>
      </c>
      <c r="E281" s="34">
        <v>778.20039999999995</v>
      </c>
      <c r="F281" s="25">
        <v>6.29</v>
      </c>
      <c r="G281" s="25">
        <v>5.24</v>
      </c>
      <c r="H281" s="25">
        <v>49.81</v>
      </c>
      <c r="I281" s="25">
        <v>271.49</v>
      </c>
      <c r="J281" s="25">
        <v>0.15</v>
      </c>
    </row>
    <row r="282" spans="1:10" x14ac:dyDescent="0.25">
      <c r="A282" s="15" t="s">
        <v>247</v>
      </c>
      <c r="B282" s="15"/>
      <c r="C282" s="15"/>
      <c r="D282" s="24">
        <v>180</v>
      </c>
      <c r="E282" s="24" t="s">
        <v>234</v>
      </c>
      <c r="F282" s="25">
        <v>0.34</v>
      </c>
      <c r="G282" s="25">
        <v>7.0000000000000007E-2</v>
      </c>
      <c r="H282" s="25">
        <v>11.99</v>
      </c>
      <c r="I282" s="25">
        <v>86.66</v>
      </c>
      <c r="J282" s="25">
        <v>0.49</v>
      </c>
    </row>
    <row r="283" spans="1:10" ht="14.45" customHeight="1" x14ac:dyDescent="0.25">
      <c r="A283" s="249" t="s">
        <v>13</v>
      </c>
      <c r="B283" s="250"/>
      <c r="C283" s="251"/>
      <c r="D283" s="10">
        <v>20</v>
      </c>
      <c r="E283" s="10" t="s">
        <v>79</v>
      </c>
      <c r="F283" s="13">
        <v>1.52</v>
      </c>
      <c r="G283" s="13">
        <f>0.16</f>
        <v>0.16</v>
      </c>
      <c r="H283" s="13">
        <v>9.84</v>
      </c>
      <c r="I283" s="13">
        <v>46.88</v>
      </c>
      <c r="J283" s="6">
        <v>0</v>
      </c>
    </row>
    <row r="284" spans="1:10" ht="24.75" customHeight="1" x14ac:dyDescent="0.25">
      <c r="A284" s="237" t="s">
        <v>12</v>
      </c>
      <c r="B284" s="238"/>
      <c r="C284" s="239"/>
      <c r="D284" s="176">
        <f>SUM(D280:D283)</f>
        <v>490</v>
      </c>
      <c r="E284" s="176"/>
      <c r="F284" s="28">
        <f>SUM(F280:F283)</f>
        <v>13.989999999999998</v>
      </c>
      <c r="G284" s="28">
        <f t="shared" ref="G284:J284" si="23">SUM(G280:G283)</f>
        <v>10.63</v>
      </c>
      <c r="H284" s="28">
        <f t="shared" si="23"/>
        <v>91.67</v>
      </c>
      <c r="I284" s="28">
        <f t="shared" si="23"/>
        <v>555.86</v>
      </c>
      <c r="J284" s="28">
        <f t="shared" si="23"/>
        <v>2.46</v>
      </c>
    </row>
    <row r="285" spans="1:10" ht="39" customHeight="1" thickBot="1" x14ac:dyDescent="0.3">
      <c r="A285" s="42" t="s">
        <v>14</v>
      </c>
      <c r="B285" s="43"/>
      <c r="C285" s="43"/>
      <c r="D285" s="44"/>
      <c r="E285" s="45"/>
      <c r="F285" s="46">
        <f>F284+F278+F270+F267</f>
        <v>48.37</v>
      </c>
      <c r="G285" s="46">
        <f t="shared" ref="G285:J285" si="24">G284+G278+G270+G267</f>
        <v>51.489999999999995</v>
      </c>
      <c r="H285" s="46">
        <f t="shared" si="24"/>
        <v>245.74</v>
      </c>
      <c r="I285" s="46">
        <f t="shared" si="24"/>
        <v>1676.5899999999997</v>
      </c>
      <c r="J285" s="46">
        <f t="shared" si="24"/>
        <v>90.719999999999985</v>
      </c>
    </row>
    <row r="288" spans="1:10" ht="38.450000000000003" customHeight="1" x14ac:dyDescent="0.25">
      <c r="A288" s="269" t="s">
        <v>0</v>
      </c>
      <c r="B288" s="269"/>
      <c r="C288" s="269"/>
      <c r="D288" s="172" t="s">
        <v>1</v>
      </c>
      <c r="E288" s="172" t="s">
        <v>2</v>
      </c>
      <c r="F288" s="22" t="s">
        <v>3</v>
      </c>
      <c r="G288" s="22" t="s">
        <v>4</v>
      </c>
      <c r="H288" s="22" t="s">
        <v>28</v>
      </c>
      <c r="I288" s="23" t="s">
        <v>75</v>
      </c>
      <c r="J288" s="22" t="s">
        <v>76</v>
      </c>
    </row>
    <row r="289" spans="1:10" x14ac:dyDescent="0.25">
      <c r="A289" s="268" t="s">
        <v>220</v>
      </c>
      <c r="B289" s="268"/>
      <c r="C289" s="268"/>
      <c r="D289" s="268"/>
      <c r="E289" s="268"/>
      <c r="F289" s="268"/>
      <c r="G289" s="268"/>
      <c r="H289" s="268"/>
      <c r="I289" s="268"/>
      <c r="J289" s="268"/>
    </row>
    <row r="290" spans="1:10" x14ac:dyDescent="0.25">
      <c r="A290" s="268" t="s">
        <v>6</v>
      </c>
      <c r="B290" s="268"/>
      <c r="C290" s="268"/>
      <c r="D290" s="268"/>
      <c r="E290" s="268"/>
      <c r="F290" s="268"/>
      <c r="G290" s="268"/>
      <c r="H290" s="268"/>
      <c r="I290" s="268"/>
      <c r="J290" s="268"/>
    </row>
    <row r="291" spans="1:10" x14ac:dyDescent="0.25">
      <c r="A291" s="268" t="s">
        <v>9</v>
      </c>
      <c r="B291" s="268"/>
      <c r="C291" s="268"/>
      <c r="D291" s="268"/>
      <c r="E291" s="268"/>
      <c r="F291" s="268"/>
      <c r="G291" s="268"/>
      <c r="H291" s="268"/>
      <c r="I291" s="268"/>
      <c r="J291" s="268"/>
    </row>
    <row r="292" spans="1:10" x14ac:dyDescent="0.25">
      <c r="A292" s="294" t="s">
        <v>282</v>
      </c>
      <c r="B292" s="294"/>
      <c r="C292" s="294"/>
      <c r="D292" s="135" t="s">
        <v>103</v>
      </c>
      <c r="E292" s="10" t="s">
        <v>143</v>
      </c>
      <c r="F292" s="13">
        <v>1.92</v>
      </c>
      <c r="G292" s="13">
        <v>4.3600000000000003</v>
      </c>
      <c r="H292" s="13">
        <v>12.7</v>
      </c>
      <c r="I292" s="13">
        <v>98.8</v>
      </c>
      <c r="J292" s="25">
        <v>0</v>
      </c>
    </row>
    <row r="293" spans="1:10" ht="28.9" customHeight="1" x14ac:dyDescent="0.25">
      <c r="A293" s="280" t="s">
        <v>182</v>
      </c>
      <c r="B293" s="280"/>
      <c r="C293" s="280"/>
      <c r="D293" s="24" t="s">
        <v>203</v>
      </c>
      <c r="E293" s="24">
        <v>93.200500000000005</v>
      </c>
      <c r="F293" s="25">
        <v>6.2</v>
      </c>
      <c r="G293" s="25">
        <v>7.1</v>
      </c>
      <c r="H293" s="25">
        <v>24.6</v>
      </c>
      <c r="I293" s="25">
        <v>188</v>
      </c>
      <c r="J293" s="25">
        <v>1.4</v>
      </c>
    </row>
    <row r="294" spans="1:10" x14ac:dyDescent="0.25">
      <c r="A294" s="249" t="s">
        <v>22</v>
      </c>
      <c r="B294" s="250"/>
      <c r="C294" s="251"/>
      <c r="D294" s="10">
        <v>180</v>
      </c>
      <c r="E294" s="10" t="s">
        <v>246</v>
      </c>
      <c r="F294" s="11">
        <v>1.22</v>
      </c>
      <c r="G294" s="11">
        <v>1.05</v>
      </c>
      <c r="H294" s="11">
        <v>12.01</v>
      </c>
      <c r="I294" s="11">
        <v>62.65</v>
      </c>
      <c r="J294" s="10">
        <v>0.55000000000000004</v>
      </c>
    </row>
    <row r="295" spans="1:10" x14ac:dyDescent="0.25">
      <c r="A295" s="243" t="s">
        <v>12</v>
      </c>
      <c r="B295" s="244"/>
      <c r="C295" s="245"/>
      <c r="D295" s="24">
        <f>D294+204+30</f>
        <v>414</v>
      </c>
      <c r="E295" s="24"/>
      <c r="F295" s="22">
        <f>SUM(F292:F294)</f>
        <v>9.3400000000000016</v>
      </c>
      <c r="G295" s="22">
        <f t="shared" ref="G295:J295" si="25">SUM(G292:G294)</f>
        <v>12.510000000000002</v>
      </c>
      <c r="H295" s="22">
        <f t="shared" si="25"/>
        <v>49.309999999999995</v>
      </c>
      <c r="I295" s="22">
        <f t="shared" si="25"/>
        <v>349.45</v>
      </c>
      <c r="J295" s="22">
        <f t="shared" si="25"/>
        <v>1.95</v>
      </c>
    </row>
    <row r="296" spans="1:10" ht="12.6" customHeight="1" x14ac:dyDescent="0.25">
      <c r="A296" s="268" t="s">
        <v>8</v>
      </c>
      <c r="B296" s="268"/>
      <c r="C296" s="268"/>
      <c r="D296" s="268"/>
      <c r="E296" s="268"/>
      <c r="F296" s="268"/>
      <c r="G296" s="268"/>
      <c r="H296" s="268"/>
      <c r="I296" s="268"/>
      <c r="J296" s="25"/>
    </row>
    <row r="297" spans="1:10" x14ac:dyDescent="0.25">
      <c r="A297" s="249" t="s">
        <v>273</v>
      </c>
      <c r="B297" s="250"/>
      <c r="C297" s="251"/>
      <c r="D297" s="10">
        <v>90</v>
      </c>
      <c r="E297" s="10"/>
      <c r="F297" s="13">
        <v>0.36</v>
      </c>
      <c r="G297" s="13">
        <v>0.36</v>
      </c>
      <c r="H297" s="13">
        <v>8.82</v>
      </c>
      <c r="I297" s="13">
        <v>39.96</v>
      </c>
      <c r="J297" s="14">
        <v>9</v>
      </c>
    </row>
    <row r="298" spans="1:10" x14ac:dyDescent="0.25">
      <c r="A298" s="243" t="s">
        <v>12</v>
      </c>
      <c r="B298" s="244"/>
      <c r="C298" s="245"/>
      <c r="D298" s="24">
        <f>SUM(D297)</f>
        <v>90</v>
      </c>
      <c r="E298" s="24"/>
      <c r="F298" s="22">
        <f>SUM(F297)</f>
        <v>0.36</v>
      </c>
      <c r="G298" s="22">
        <f t="shared" ref="G298:J298" si="26">SUM(G297)</f>
        <v>0.36</v>
      </c>
      <c r="H298" s="22">
        <f t="shared" si="26"/>
        <v>8.82</v>
      </c>
      <c r="I298" s="22">
        <f t="shared" si="26"/>
        <v>39.96</v>
      </c>
      <c r="J298" s="22">
        <f t="shared" si="26"/>
        <v>9</v>
      </c>
    </row>
    <row r="299" spans="1:10" x14ac:dyDescent="0.25">
      <c r="A299" s="268" t="s">
        <v>11</v>
      </c>
      <c r="B299" s="268"/>
      <c r="C299" s="268"/>
      <c r="D299" s="268"/>
      <c r="E299" s="268"/>
      <c r="F299" s="268"/>
      <c r="G299" s="268"/>
      <c r="H299" s="268"/>
      <c r="I299" s="268"/>
      <c r="J299" s="25"/>
    </row>
    <row r="300" spans="1:10" ht="15" customHeight="1" x14ac:dyDescent="0.25">
      <c r="A300" s="280" t="s">
        <v>333</v>
      </c>
      <c r="B300" s="280"/>
      <c r="C300" s="280"/>
      <c r="D300" s="24">
        <v>60</v>
      </c>
      <c r="E300" s="24">
        <v>78.200400000000002</v>
      </c>
      <c r="F300" s="25">
        <v>0.7</v>
      </c>
      <c r="G300" s="25">
        <v>2.1</v>
      </c>
      <c r="H300" s="25">
        <v>4.7</v>
      </c>
      <c r="I300" s="25">
        <v>40</v>
      </c>
      <c r="J300" s="25">
        <v>3.2</v>
      </c>
    </row>
    <row r="301" spans="1:10" ht="25.5" customHeight="1" x14ac:dyDescent="0.25">
      <c r="A301" s="301" t="s">
        <v>283</v>
      </c>
      <c r="B301" s="302"/>
      <c r="C301" s="303"/>
      <c r="D301" s="33">
        <v>60</v>
      </c>
      <c r="E301" s="33">
        <v>14.2005</v>
      </c>
      <c r="F301" s="33">
        <v>0.5</v>
      </c>
      <c r="G301" s="33">
        <v>3.4</v>
      </c>
      <c r="H301" s="33">
        <v>1.7</v>
      </c>
      <c r="I301" s="33">
        <v>36</v>
      </c>
      <c r="J301" s="14">
        <v>17</v>
      </c>
    </row>
    <row r="302" spans="1:10" ht="25.5" customHeight="1" x14ac:dyDescent="0.25">
      <c r="A302" s="266" t="s">
        <v>164</v>
      </c>
      <c r="B302" s="266"/>
      <c r="C302" s="266"/>
      <c r="D302" s="24" t="s">
        <v>334</v>
      </c>
      <c r="E302" s="24">
        <v>37.200499999999998</v>
      </c>
      <c r="F302" s="25">
        <v>3.59</v>
      </c>
      <c r="G302" s="25">
        <v>5.07</v>
      </c>
      <c r="H302" s="25">
        <v>15.45</v>
      </c>
      <c r="I302" s="25">
        <v>121.48</v>
      </c>
      <c r="J302" s="25">
        <v>11.63</v>
      </c>
    </row>
    <row r="303" spans="1:10" ht="27.75" customHeight="1" x14ac:dyDescent="0.25">
      <c r="A303" s="298" t="s">
        <v>301</v>
      </c>
      <c r="B303" s="299"/>
      <c r="C303" s="300"/>
      <c r="D303" s="10">
        <v>80</v>
      </c>
      <c r="E303" s="10">
        <v>298.16000000000003</v>
      </c>
      <c r="F303" s="25">
        <f>8.67+1.03</f>
        <v>9.6999999999999993</v>
      </c>
      <c r="G303" s="25">
        <f>8.44+1.86</f>
        <v>10.299999999999999</v>
      </c>
      <c r="H303" s="25">
        <f>5.43+2.55</f>
        <v>7.9799999999999995</v>
      </c>
      <c r="I303" s="25">
        <f>132.37+31.23</f>
        <v>163.6</v>
      </c>
      <c r="J303" s="25">
        <f>0.02+0.39</f>
        <v>0.41000000000000003</v>
      </c>
    </row>
    <row r="304" spans="1:10" x14ac:dyDescent="0.25">
      <c r="A304" s="266" t="s">
        <v>19</v>
      </c>
      <c r="B304" s="266"/>
      <c r="C304" s="266"/>
      <c r="D304" s="139">
        <v>150</v>
      </c>
      <c r="E304" s="10">
        <v>200.20050000000001</v>
      </c>
      <c r="F304" s="11">
        <v>2.71</v>
      </c>
      <c r="G304" s="11">
        <v>3.05</v>
      </c>
      <c r="H304" s="11">
        <v>9.77</v>
      </c>
      <c r="I304" s="11">
        <v>78.33</v>
      </c>
      <c r="J304" s="14">
        <v>96.26</v>
      </c>
    </row>
    <row r="305" spans="1:10" x14ac:dyDescent="0.25">
      <c r="A305" s="15" t="s">
        <v>58</v>
      </c>
      <c r="B305" s="15"/>
      <c r="C305" s="15"/>
      <c r="D305" s="24">
        <v>180</v>
      </c>
      <c r="E305" s="24" t="s">
        <v>253</v>
      </c>
      <c r="F305" s="25">
        <v>0.14000000000000001</v>
      </c>
      <c r="G305" s="25">
        <v>0.14000000000000001</v>
      </c>
      <c r="H305" s="25">
        <v>15.5</v>
      </c>
      <c r="I305" s="25">
        <v>63.88</v>
      </c>
      <c r="J305" s="25">
        <v>3.6</v>
      </c>
    </row>
    <row r="306" spans="1:10" x14ac:dyDescent="0.25">
      <c r="A306" s="249" t="s">
        <v>23</v>
      </c>
      <c r="B306" s="250"/>
      <c r="C306" s="251"/>
      <c r="D306" s="24">
        <v>45</v>
      </c>
      <c r="E306" s="10" t="s">
        <v>80</v>
      </c>
      <c r="F306" s="13">
        <v>2.75</v>
      </c>
      <c r="G306" s="13">
        <v>0.54</v>
      </c>
      <c r="H306" s="13">
        <v>17.96</v>
      </c>
      <c r="I306" s="13">
        <v>87.66</v>
      </c>
      <c r="J306" s="25">
        <v>0</v>
      </c>
    </row>
    <row r="307" spans="1:10" ht="15.75" customHeight="1" x14ac:dyDescent="0.25">
      <c r="A307" s="249" t="s">
        <v>13</v>
      </c>
      <c r="B307" s="250"/>
      <c r="C307" s="251"/>
      <c r="D307" s="24">
        <v>25</v>
      </c>
      <c r="E307" s="10" t="s">
        <v>79</v>
      </c>
      <c r="F307" s="13">
        <v>1.9</v>
      </c>
      <c r="G307" s="13">
        <v>0.2</v>
      </c>
      <c r="H307" s="13">
        <v>12.3</v>
      </c>
      <c r="I307" s="13">
        <v>58.6</v>
      </c>
      <c r="J307" s="6"/>
    </row>
    <row r="308" spans="1:10" ht="17.25" customHeight="1" x14ac:dyDescent="0.25">
      <c r="A308" s="243" t="s">
        <v>12</v>
      </c>
      <c r="B308" s="244"/>
      <c r="C308" s="245"/>
      <c r="D308" s="24">
        <f>D300+250+8.5+25+D303+D304+D305+D306+D307</f>
        <v>823.5</v>
      </c>
      <c r="E308" s="24"/>
      <c r="F308" s="22">
        <f>SUM(F300:F307)</f>
        <v>21.99</v>
      </c>
      <c r="G308" s="22">
        <f t="shared" ref="G308:J308" si="27">SUM(G300:G307)</f>
        <v>24.799999999999997</v>
      </c>
      <c r="H308" s="22">
        <f t="shared" si="27"/>
        <v>85.36</v>
      </c>
      <c r="I308" s="22">
        <f t="shared" si="27"/>
        <v>649.55000000000007</v>
      </c>
      <c r="J308" s="22">
        <f t="shared" si="27"/>
        <v>132.1</v>
      </c>
    </row>
    <row r="309" spans="1:10" ht="12" customHeight="1" x14ac:dyDescent="0.25">
      <c r="A309" s="268" t="s">
        <v>37</v>
      </c>
      <c r="B309" s="268"/>
      <c r="C309" s="268"/>
      <c r="D309" s="268"/>
      <c r="E309" s="268"/>
      <c r="F309" s="268"/>
      <c r="G309" s="268"/>
      <c r="H309" s="268"/>
      <c r="I309" s="268"/>
      <c r="J309" s="25"/>
    </row>
    <row r="310" spans="1:10" ht="15" customHeight="1" x14ac:dyDescent="0.25">
      <c r="A310" s="249" t="s">
        <v>65</v>
      </c>
      <c r="B310" s="250"/>
      <c r="C310" s="251"/>
      <c r="D310" s="24">
        <v>70</v>
      </c>
      <c r="E310" s="24" t="s">
        <v>281</v>
      </c>
      <c r="F310" s="25">
        <v>10.26</v>
      </c>
      <c r="G310" s="25">
        <v>3.08</v>
      </c>
      <c r="H310" s="25">
        <v>2.93</v>
      </c>
      <c r="I310" s="25">
        <v>82.86</v>
      </c>
      <c r="J310" s="25">
        <v>0.23</v>
      </c>
    </row>
    <row r="311" spans="1:10" x14ac:dyDescent="0.25">
      <c r="A311" s="169" t="s">
        <v>16</v>
      </c>
      <c r="B311" s="170"/>
      <c r="C311" s="171"/>
      <c r="D311" s="10">
        <v>150</v>
      </c>
      <c r="E311" s="10">
        <v>206.20050000000001</v>
      </c>
      <c r="F311" s="29">
        <v>3.22</v>
      </c>
      <c r="G311" s="29">
        <v>3.62</v>
      </c>
      <c r="H311" s="29">
        <v>21.69</v>
      </c>
      <c r="I311" s="29">
        <v>132.32</v>
      </c>
      <c r="J311" s="29">
        <v>25.5</v>
      </c>
    </row>
    <row r="312" spans="1:10" ht="13.9" customHeight="1" x14ac:dyDescent="0.25">
      <c r="A312" s="249" t="s">
        <v>285</v>
      </c>
      <c r="B312" s="250"/>
      <c r="C312" s="251"/>
      <c r="D312" s="10" t="s">
        <v>348</v>
      </c>
      <c r="E312" s="10">
        <v>251</v>
      </c>
      <c r="F312" s="13">
        <f>5.22</f>
        <v>5.22</v>
      </c>
      <c r="G312" s="13">
        <v>5.76</v>
      </c>
      <c r="H312" s="13">
        <f>7.2+3.99</f>
        <v>11.190000000000001</v>
      </c>
      <c r="I312" s="13">
        <f>101.52+15.97</f>
        <v>117.49</v>
      </c>
      <c r="J312" s="25">
        <v>1.26</v>
      </c>
    </row>
    <row r="313" spans="1:10" ht="15" customHeight="1" x14ac:dyDescent="0.25">
      <c r="A313" s="307" t="s">
        <v>38</v>
      </c>
      <c r="B313" s="308"/>
      <c r="C313" s="309"/>
      <c r="D313" s="12">
        <v>30</v>
      </c>
      <c r="E313" s="10" t="s">
        <v>77</v>
      </c>
      <c r="F313" s="25">
        <v>2.2999999999999998</v>
      </c>
      <c r="G313" s="25">
        <v>3.3</v>
      </c>
      <c r="H313" s="25">
        <v>21.29</v>
      </c>
      <c r="I313" s="25">
        <v>124.23</v>
      </c>
      <c r="J313" s="25">
        <v>0</v>
      </c>
    </row>
    <row r="314" spans="1:10" ht="12.75" customHeight="1" x14ac:dyDescent="0.25">
      <c r="A314" s="249" t="s">
        <v>13</v>
      </c>
      <c r="B314" s="250"/>
      <c r="C314" s="251"/>
      <c r="D314" s="10">
        <v>30</v>
      </c>
      <c r="E314" s="10" t="s">
        <v>79</v>
      </c>
      <c r="F314" s="13">
        <v>2.2799999999999998</v>
      </c>
      <c r="G314" s="13">
        <v>0.24</v>
      </c>
      <c r="H314" s="13">
        <v>14.76</v>
      </c>
      <c r="I314" s="13">
        <v>70.319999999999993</v>
      </c>
      <c r="J314" s="25">
        <v>0</v>
      </c>
    </row>
    <row r="315" spans="1:10" ht="15" customHeight="1" x14ac:dyDescent="0.25">
      <c r="A315" s="253" t="s">
        <v>12</v>
      </c>
      <c r="B315" s="254"/>
      <c r="C315" s="255"/>
      <c r="D315" s="172">
        <f>D310+D311+D313+D314+185</f>
        <v>465</v>
      </c>
      <c r="E315" s="172"/>
      <c r="F315" s="22">
        <f>SUM(F310:F314)</f>
        <v>23.28</v>
      </c>
      <c r="G315" s="22">
        <f t="shared" ref="G315:J315" si="28">SUM(G310:G314)</f>
        <v>16</v>
      </c>
      <c r="H315" s="22">
        <f t="shared" si="28"/>
        <v>71.86</v>
      </c>
      <c r="I315" s="22">
        <f t="shared" si="28"/>
        <v>527.22</v>
      </c>
      <c r="J315" s="22">
        <f t="shared" si="28"/>
        <v>26.990000000000002</v>
      </c>
    </row>
    <row r="316" spans="1:10" ht="24.75" customHeight="1" x14ac:dyDescent="0.25">
      <c r="A316" s="243" t="s">
        <v>14</v>
      </c>
      <c r="B316" s="244"/>
      <c r="C316" s="245"/>
      <c r="D316" s="172"/>
      <c r="E316" s="172"/>
      <c r="F316" s="22">
        <f>F315+F308+F298+F295</f>
        <v>54.97</v>
      </c>
      <c r="G316" s="22">
        <f>G315+G308+G298+G295</f>
        <v>53.67</v>
      </c>
      <c r="H316" s="22">
        <f>H315+H308+H298+H295</f>
        <v>215.35</v>
      </c>
      <c r="I316" s="22">
        <f>I315+I308+I298+I295</f>
        <v>1566.18</v>
      </c>
      <c r="J316" s="22">
        <f>J315+J308+J298+J295</f>
        <v>170.04</v>
      </c>
    </row>
    <row r="317" spans="1:10" ht="43.5" x14ac:dyDescent="0.25">
      <c r="A317" s="269" t="s">
        <v>0</v>
      </c>
      <c r="B317" s="269"/>
      <c r="C317" s="269"/>
      <c r="D317" s="172" t="s">
        <v>1</v>
      </c>
      <c r="E317" s="172" t="s">
        <v>2</v>
      </c>
      <c r="F317" s="22" t="s">
        <v>3</v>
      </c>
      <c r="G317" s="22" t="s">
        <v>4</v>
      </c>
      <c r="H317" s="22" t="s">
        <v>28</v>
      </c>
      <c r="I317" s="23" t="s">
        <v>75</v>
      </c>
      <c r="J317" s="22" t="s">
        <v>76</v>
      </c>
    </row>
    <row r="318" spans="1:10" x14ac:dyDescent="0.25">
      <c r="A318" s="269" t="s">
        <v>220</v>
      </c>
      <c r="B318" s="269"/>
      <c r="C318" s="269"/>
      <c r="D318" s="269"/>
      <c r="E318" s="269"/>
      <c r="F318" s="269"/>
      <c r="G318" s="269"/>
      <c r="H318" s="269"/>
      <c r="I318" s="269"/>
      <c r="J318" s="269"/>
    </row>
    <row r="319" spans="1:10" x14ac:dyDescent="0.25">
      <c r="A319" s="269" t="s">
        <v>15</v>
      </c>
      <c r="B319" s="269"/>
      <c r="C319" s="269"/>
      <c r="D319" s="269"/>
      <c r="E319" s="269"/>
      <c r="F319" s="269"/>
      <c r="G319" s="269"/>
      <c r="H319" s="269"/>
      <c r="I319" s="269"/>
      <c r="J319" s="269"/>
    </row>
    <row r="320" spans="1:10" x14ac:dyDescent="0.25">
      <c r="A320" s="269" t="s">
        <v>9</v>
      </c>
      <c r="B320" s="269"/>
      <c r="C320" s="269"/>
      <c r="D320" s="269"/>
      <c r="E320" s="269"/>
      <c r="F320" s="269"/>
      <c r="G320" s="269"/>
      <c r="H320" s="269"/>
      <c r="I320" s="269"/>
      <c r="J320" s="269"/>
    </row>
    <row r="321" spans="1:10" ht="29.25" customHeight="1" x14ac:dyDescent="0.25">
      <c r="A321" s="298" t="s">
        <v>314</v>
      </c>
      <c r="B321" s="299"/>
      <c r="C321" s="300"/>
      <c r="D321" s="135" t="s">
        <v>202</v>
      </c>
      <c r="E321" s="10" t="s">
        <v>250</v>
      </c>
      <c r="F321" s="13">
        <v>4.68</v>
      </c>
      <c r="G321" s="13">
        <v>7.15</v>
      </c>
      <c r="H321" s="13">
        <v>12.7</v>
      </c>
      <c r="I321" s="13">
        <v>134.97999999999999</v>
      </c>
      <c r="J321" s="14">
        <v>7.0000000000000007E-2</v>
      </c>
    </row>
    <row r="322" spans="1:10" ht="27" customHeight="1" x14ac:dyDescent="0.25">
      <c r="A322" s="280" t="s">
        <v>207</v>
      </c>
      <c r="B322" s="280"/>
      <c r="C322" s="280"/>
      <c r="D322" s="10" t="s">
        <v>203</v>
      </c>
      <c r="E322" s="10" t="s">
        <v>347</v>
      </c>
      <c r="F322" s="13">
        <v>5.68</v>
      </c>
      <c r="G322" s="13">
        <v>5.8</v>
      </c>
      <c r="H322" s="13">
        <v>27.78</v>
      </c>
      <c r="I322" s="13">
        <v>186.79</v>
      </c>
      <c r="J322" s="10">
        <v>1.38</v>
      </c>
    </row>
    <row r="323" spans="1:10" ht="14.25" customHeight="1" x14ac:dyDescent="0.25">
      <c r="A323" s="249" t="s">
        <v>151</v>
      </c>
      <c r="B323" s="250"/>
      <c r="C323" s="251"/>
      <c r="D323" s="24">
        <v>180</v>
      </c>
      <c r="E323" s="24" t="s">
        <v>248</v>
      </c>
      <c r="F323" s="13">
        <v>5.22</v>
      </c>
      <c r="G323" s="13">
        <v>4.5</v>
      </c>
      <c r="H323" s="13">
        <v>21.14</v>
      </c>
      <c r="I323" s="13">
        <v>147.19</v>
      </c>
      <c r="J323" s="14">
        <v>2.34</v>
      </c>
    </row>
    <row r="324" spans="1:10" x14ac:dyDescent="0.25">
      <c r="A324" s="243" t="s">
        <v>12</v>
      </c>
      <c r="B324" s="244"/>
      <c r="C324" s="245"/>
      <c r="D324" s="24">
        <f>D323+204+25+5+10.5</f>
        <v>424.5</v>
      </c>
      <c r="E324" s="24"/>
      <c r="F324" s="22">
        <f>SUM(F321:F323)</f>
        <v>15.579999999999998</v>
      </c>
      <c r="G324" s="22">
        <f t="shared" ref="G324:J324" si="29">SUM(G321:G323)</f>
        <v>17.45</v>
      </c>
      <c r="H324" s="22">
        <f t="shared" si="29"/>
        <v>61.620000000000005</v>
      </c>
      <c r="I324" s="22">
        <f t="shared" si="29"/>
        <v>468.96</v>
      </c>
      <c r="J324" s="22">
        <f t="shared" si="29"/>
        <v>3.79</v>
      </c>
    </row>
    <row r="325" spans="1:10" ht="12" customHeight="1" x14ac:dyDescent="0.25">
      <c r="A325" s="269" t="s">
        <v>8</v>
      </c>
      <c r="B325" s="269"/>
      <c r="C325" s="269"/>
      <c r="D325" s="269"/>
      <c r="E325" s="269"/>
      <c r="F325" s="269"/>
      <c r="G325" s="269"/>
      <c r="H325" s="269"/>
      <c r="I325" s="269"/>
      <c r="J325" s="25"/>
    </row>
    <row r="326" spans="1:10" ht="14.45" customHeight="1" x14ac:dyDescent="0.25">
      <c r="A326" s="249" t="s">
        <v>38</v>
      </c>
      <c r="B326" s="250"/>
      <c r="C326" s="251"/>
      <c r="D326" s="33">
        <v>30</v>
      </c>
      <c r="E326" s="33" t="s">
        <v>77</v>
      </c>
      <c r="F326" s="33">
        <v>2.2999999999999998</v>
      </c>
      <c r="G326" s="33">
        <v>3.3</v>
      </c>
      <c r="H326" s="33">
        <v>21.29</v>
      </c>
      <c r="I326" s="33">
        <v>121.43</v>
      </c>
      <c r="J326" s="25">
        <v>0</v>
      </c>
    </row>
    <row r="327" spans="1:10" ht="14.45" customHeight="1" x14ac:dyDescent="0.25">
      <c r="A327" s="249" t="s">
        <v>24</v>
      </c>
      <c r="B327" s="250"/>
      <c r="C327" s="251"/>
      <c r="D327" s="24">
        <v>180</v>
      </c>
      <c r="E327" s="24" t="s">
        <v>245</v>
      </c>
      <c r="F327" s="25">
        <v>0.9</v>
      </c>
      <c r="G327" s="25">
        <v>0.18</v>
      </c>
      <c r="H327" s="25">
        <v>18.18</v>
      </c>
      <c r="I327" s="25">
        <v>77.94</v>
      </c>
      <c r="J327" s="25">
        <v>3.6</v>
      </c>
    </row>
    <row r="328" spans="1:10" x14ac:dyDescent="0.25">
      <c r="A328" s="243" t="s">
        <v>12</v>
      </c>
      <c r="B328" s="244"/>
      <c r="C328" s="245"/>
      <c r="D328" s="24">
        <f>SUM(D326:D327)</f>
        <v>210</v>
      </c>
      <c r="E328" s="24"/>
      <c r="F328" s="22">
        <f>SUM(F326:F327)</f>
        <v>3.1999999999999997</v>
      </c>
      <c r="G328" s="22">
        <f t="shared" ref="G328:J328" si="30">SUM(G326:G327)</f>
        <v>3.48</v>
      </c>
      <c r="H328" s="22">
        <f t="shared" si="30"/>
        <v>39.47</v>
      </c>
      <c r="I328" s="22">
        <f t="shared" si="30"/>
        <v>199.37</v>
      </c>
      <c r="J328" s="22">
        <f t="shared" si="30"/>
        <v>3.6</v>
      </c>
    </row>
    <row r="329" spans="1:10" x14ac:dyDescent="0.25">
      <c r="A329" s="269" t="s">
        <v>11</v>
      </c>
      <c r="B329" s="269"/>
      <c r="C329" s="269"/>
      <c r="D329" s="269"/>
      <c r="E329" s="269"/>
      <c r="F329" s="269"/>
      <c r="G329" s="269"/>
      <c r="H329" s="269"/>
      <c r="I329" s="269"/>
      <c r="J329" s="25"/>
    </row>
    <row r="330" spans="1:10" ht="33" customHeight="1" x14ac:dyDescent="0.25">
      <c r="A330" s="307" t="s">
        <v>335</v>
      </c>
      <c r="B330" s="308"/>
      <c r="C330" s="309"/>
      <c r="D330" s="10">
        <v>60</v>
      </c>
      <c r="E330" s="10">
        <v>11.2006</v>
      </c>
      <c r="F330" s="13">
        <v>0.82</v>
      </c>
      <c r="G330" s="13">
        <v>2.5</v>
      </c>
      <c r="H330" s="13">
        <v>3.3</v>
      </c>
      <c r="I330" s="13">
        <v>40</v>
      </c>
      <c r="J330" s="6">
        <v>20.100000000000001</v>
      </c>
    </row>
    <row r="331" spans="1:10" ht="14.45" customHeight="1" x14ac:dyDescent="0.25">
      <c r="A331" s="298" t="s">
        <v>336</v>
      </c>
      <c r="B331" s="299"/>
      <c r="C331" s="300"/>
      <c r="D331" s="24">
        <v>60</v>
      </c>
      <c r="E331" s="10">
        <v>5.2004999999999999</v>
      </c>
      <c r="F331" s="10">
        <v>0.9</v>
      </c>
      <c r="G331" s="10">
        <v>4</v>
      </c>
      <c r="H331" s="10">
        <v>4.2</v>
      </c>
      <c r="I331" s="10">
        <v>56.59</v>
      </c>
      <c r="J331" s="10">
        <v>36</v>
      </c>
    </row>
    <row r="332" spans="1:10" ht="30" customHeight="1" x14ac:dyDescent="0.25">
      <c r="A332" s="280" t="s">
        <v>223</v>
      </c>
      <c r="B332" s="280"/>
      <c r="C332" s="280"/>
      <c r="D332" s="26" t="s">
        <v>224</v>
      </c>
      <c r="E332" s="24">
        <v>34.200499999999998</v>
      </c>
      <c r="F332" s="25">
        <f>2.65+1.88</f>
        <v>4.5299999999999994</v>
      </c>
      <c r="G332" s="25">
        <f>1.76+13.02</f>
        <v>14.78</v>
      </c>
      <c r="H332" s="25">
        <f>8.34+0.08</f>
        <v>8.42</v>
      </c>
      <c r="I332" s="25">
        <f>116.71+23.72</f>
        <v>140.43</v>
      </c>
      <c r="J332" s="25">
        <v>31.3</v>
      </c>
    </row>
    <row r="333" spans="1:10" ht="14.45" customHeight="1" x14ac:dyDescent="0.25">
      <c r="A333" s="298" t="s">
        <v>302</v>
      </c>
      <c r="B333" s="299"/>
      <c r="C333" s="300"/>
      <c r="D333" s="48">
        <v>200</v>
      </c>
      <c r="E333" s="24">
        <v>309.16000000000003</v>
      </c>
      <c r="F333" s="13">
        <v>30.34</v>
      </c>
      <c r="G333" s="13">
        <v>9.69</v>
      </c>
      <c r="H333" s="13">
        <v>115.44</v>
      </c>
      <c r="I333" s="13">
        <v>670.31</v>
      </c>
      <c r="J333" s="13">
        <v>24.14</v>
      </c>
    </row>
    <row r="334" spans="1:10" x14ac:dyDescent="0.25">
      <c r="A334" s="15" t="s">
        <v>247</v>
      </c>
      <c r="B334" s="15"/>
      <c r="C334" s="15"/>
      <c r="D334" s="24">
        <v>180</v>
      </c>
      <c r="E334" s="24" t="s">
        <v>234</v>
      </c>
      <c r="F334" s="25">
        <v>0.34</v>
      </c>
      <c r="G334" s="25">
        <v>7.0000000000000007E-2</v>
      </c>
      <c r="H334" s="25">
        <v>11.99</v>
      </c>
      <c r="I334" s="25">
        <v>86.66</v>
      </c>
      <c r="J334" s="25">
        <v>0.49</v>
      </c>
    </row>
    <row r="335" spans="1:10" x14ac:dyDescent="0.25">
      <c r="A335" s="136" t="s">
        <v>23</v>
      </c>
      <c r="B335" s="137"/>
      <c r="C335" s="138"/>
      <c r="D335" s="10">
        <v>45</v>
      </c>
      <c r="E335" s="10" t="s">
        <v>80</v>
      </c>
      <c r="F335" s="13">
        <v>2.75</v>
      </c>
      <c r="G335" s="13">
        <v>0.54</v>
      </c>
      <c r="H335" s="13">
        <v>17.96</v>
      </c>
      <c r="I335" s="13">
        <v>87.66</v>
      </c>
      <c r="J335" s="25">
        <v>0</v>
      </c>
    </row>
    <row r="336" spans="1:10" x14ac:dyDescent="0.25">
      <c r="A336" s="249" t="s">
        <v>13</v>
      </c>
      <c r="B336" s="250"/>
      <c r="C336" s="251"/>
      <c r="D336" s="10">
        <v>20</v>
      </c>
      <c r="E336" s="10" t="s">
        <v>79</v>
      </c>
      <c r="F336" s="13">
        <v>1.52</v>
      </c>
      <c r="G336" s="13">
        <f>0.16</f>
        <v>0.16</v>
      </c>
      <c r="H336" s="13">
        <v>9.84</v>
      </c>
      <c r="I336" s="13">
        <v>46.88</v>
      </c>
      <c r="J336" s="6">
        <v>0</v>
      </c>
    </row>
    <row r="337" spans="1:10" x14ac:dyDescent="0.25">
      <c r="A337" s="243" t="s">
        <v>12</v>
      </c>
      <c r="B337" s="244"/>
      <c r="C337" s="245"/>
      <c r="D337" s="24">
        <f>D331+250+10+15+D333+D334+D335+D336</f>
        <v>780</v>
      </c>
      <c r="E337" s="24"/>
      <c r="F337" s="22">
        <f>SUM(F331:F336)</f>
        <v>40.380000000000003</v>
      </c>
      <c r="G337" s="22">
        <f>SUM(G331:G336)</f>
        <v>29.24</v>
      </c>
      <c r="H337" s="22">
        <f>SUM(H331:H336)</f>
        <v>167.85000000000002</v>
      </c>
      <c r="I337" s="22">
        <f>SUM(I331:I336)</f>
        <v>1088.53</v>
      </c>
      <c r="J337" s="25">
        <f>SUM(J331:J336)</f>
        <v>91.929999999999993</v>
      </c>
    </row>
    <row r="338" spans="1:10" x14ac:dyDescent="0.25">
      <c r="A338" s="268" t="s">
        <v>37</v>
      </c>
      <c r="B338" s="268"/>
      <c r="C338" s="268"/>
      <c r="D338" s="268"/>
      <c r="E338" s="268"/>
      <c r="F338" s="268"/>
      <c r="G338" s="268"/>
      <c r="H338" s="268"/>
      <c r="I338" s="268"/>
      <c r="J338" s="25"/>
    </row>
    <row r="339" spans="1:10" x14ac:dyDescent="0.25">
      <c r="A339" s="307" t="s">
        <v>303</v>
      </c>
      <c r="B339" s="308"/>
      <c r="C339" s="309"/>
      <c r="D339" s="24" t="s">
        <v>304</v>
      </c>
      <c r="E339" s="24" t="s">
        <v>305</v>
      </c>
      <c r="F339" s="25">
        <f>30.53+1.14</f>
        <v>31.67</v>
      </c>
      <c r="G339" s="25">
        <f>12.7+2.52</f>
        <v>15.219999999999999</v>
      </c>
      <c r="H339" s="25">
        <f>21.84+7.15</f>
        <v>28.990000000000002</v>
      </c>
      <c r="I339" s="25">
        <f>321.97+56.03</f>
        <v>378</v>
      </c>
      <c r="J339" s="25">
        <f>4.36+0.39</f>
        <v>4.75</v>
      </c>
    </row>
    <row r="340" spans="1:10" x14ac:dyDescent="0.25">
      <c r="A340" s="277" t="s">
        <v>13</v>
      </c>
      <c r="B340" s="278"/>
      <c r="C340" s="279"/>
      <c r="D340" s="24">
        <v>30</v>
      </c>
      <c r="E340" s="24">
        <v>256.20049999999998</v>
      </c>
      <c r="F340" s="25">
        <v>2.2799999999999998</v>
      </c>
      <c r="G340" s="25">
        <v>0.24</v>
      </c>
      <c r="H340" s="25">
        <v>14.76</v>
      </c>
      <c r="I340" s="25">
        <v>70.319999999999993</v>
      </c>
      <c r="J340" s="25">
        <v>0.7</v>
      </c>
    </row>
    <row r="341" spans="1:10" x14ac:dyDescent="0.25">
      <c r="A341" s="249" t="s">
        <v>46</v>
      </c>
      <c r="B341" s="250"/>
      <c r="C341" s="251"/>
      <c r="D341" s="10">
        <v>200</v>
      </c>
      <c r="E341" s="10">
        <v>255.20050000000001</v>
      </c>
      <c r="F341" s="13">
        <v>5.22</v>
      </c>
      <c r="G341" s="13">
        <v>4.5</v>
      </c>
      <c r="H341" s="13">
        <v>8.64</v>
      </c>
      <c r="I341" s="13">
        <v>97.2</v>
      </c>
      <c r="J341" s="10">
        <v>2.34</v>
      </c>
    </row>
    <row r="342" spans="1:10" x14ac:dyDescent="0.25">
      <c r="A342" s="249" t="s">
        <v>273</v>
      </c>
      <c r="B342" s="250"/>
      <c r="C342" s="251"/>
      <c r="D342" s="10">
        <v>100</v>
      </c>
      <c r="E342" s="25" t="s">
        <v>77</v>
      </c>
      <c r="F342" s="148">
        <v>0.4</v>
      </c>
      <c r="G342" s="25">
        <v>0.4</v>
      </c>
      <c r="H342" s="25">
        <v>9.8000000000000007</v>
      </c>
      <c r="I342" s="25">
        <v>44.4</v>
      </c>
      <c r="J342" s="25">
        <v>10</v>
      </c>
    </row>
    <row r="343" spans="1:10" ht="16.899999999999999" customHeight="1" x14ac:dyDescent="0.25">
      <c r="A343" s="243" t="s">
        <v>12</v>
      </c>
      <c r="B343" s="244"/>
      <c r="C343" s="245"/>
      <c r="D343" s="172">
        <f>D342+D341+D340+150+30</f>
        <v>510</v>
      </c>
      <c r="E343" s="172"/>
      <c r="F343" s="22">
        <f>SUM(F339:F342)</f>
        <v>39.57</v>
      </c>
      <c r="G343" s="22">
        <f t="shared" ref="G343:J343" si="31">SUM(G339:G342)</f>
        <v>20.36</v>
      </c>
      <c r="H343" s="22">
        <f t="shared" si="31"/>
        <v>62.19</v>
      </c>
      <c r="I343" s="22">
        <f t="shared" si="31"/>
        <v>589.91999999999996</v>
      </c>
      <c r="J343" s="22">
        <f t="shared" si="31"/>
        <v>17.79</v>
      </c>
    </row>
    <row r="344" spans="1:10" ht="13.5" customHeight="1" x14ac:dyDescent="0.25">
      <c r="A344" s="243" t="s">
        <v>14</v>
      </c>
      <c r="B344" s="244"/>
      <c r="C344" s="245"/>
      <c r="D344" s="172"/>
      <c r="E344" s="172"/>
      <c r="F344" s="22">
        <f>F343+F337+F328+F324</f>
        <v>98.73</v>
      </c>
      <c r="G344" s="22">
        <f t="shared" ref="G344:J344" si="32">G343+G337+G328+G324</f>
        <v>70.529999999999987</v>
      </c>
      <c r="H344" s="22">
        <f t="shared" si="32"/>
        <v>331.13</v>
      </c>
      <c r="I344" s="22">
        <f t="shared" si="32"/>
        <v>2346.7799999999997</v>
      </c>
      <c r="J344" s="22">
        <f t="shared" si="32"/>
        <v>117.11</v>
      </c>
    </row>
    <row r="345" spans="1:10" ht="14.45" customHeight="1" x14ac:dyDescent="0.25">
      <c r="A345" s="173"/>
      <c r="B345" s="174"/>
      <c r="C345" s="175"/>
      <c r="D345" s="172"/>
      <c r="E345" s="172"/>
      <c r="F345" s="22"/>
      <c r="G345" s="22"/>
      <c r="H345" s="22"/>
      <c r="I345" s="22"/>
      <c r="J345" s="25"/>
    </row>
    <row r="346" spans="1:10" ht="43.5" x14ac:dyDescent="0.25">
      <c r="A346" s="269" t="s">
        <v>0</v>
      </c>
      <c r="B346" s="269"/>
      <c r="C346" s="269"/>
      <c r="D346" s="172" t="s">
        <v>1</v>
      </c>
      <c r="E346" s="172" t="s">
        <v>2</v>
      </c>
      <c r="F346" s="22" t="s">
        <v>3</v>
      </c>
      <c r="G346" s="22" t="s">
        <v>4</v>
      </c>
      <c r="H346" s="22" t="s">
        <v>28</v>
      </c>
      <c r="I346" s="23" t="s">
        <v>75</v>
      </c>
      <c r="J346" s="22" t="s">
        <v>76</v>
      </c>
    </row>
    <row r="347" spans="1:10" x14ac:dyDescent="0.25">
      <c r="A347" s="269" t="s">
        <v>220</v>
      </c>
      <c r="B347" s="269"/>
      <c r="C347" s="269"/>
      <c r="D347" s="269"/>
      <c r="E347" s="269"/>
      <c r="F347" s="269"/>
      <c r="G347" s="269"/>
      <c r="H347" s="269"/>
      <c r="I347" s="269"/>
      <c r="J347" s="269"/>
    </row>
    <row r="348" spans="1:10" x14ac:dyDescent="0.25">
      <c r="A348" s="269" t="s">
        <v>17</v>
      </c>
      <c r="B348" s="269"/>
      <c r="C348" s="269"/>
      <c r="D348" s="269"/>
      <c r="E348" s="269"/>
      <c r="F348" s="269"/>
      <c r="G348" s="269"/>
      <c r="H348" s="269"/>
      <c r="I348" s="269"/>
      <c r="J348" s="269"/>
    </row>
    <row r="349" spans="1:10" x14ac:dyDescent="0.25">
      <c r="A349" s="269" t="s">
        <v>9</v>
      </c>
      <c r="B349" s="269"/>
      <c r="C349" s="269"/>
      <c r="D349" s="269"/>
      <c r="E349" s="269"/>
      <c r="F349" s="269"/>
      <c r="G349" s="269"/>
      <c r="H349" s="269"/>
      <c r="I349" s="269"/>
      <c r="J349" s="269"/>
    </row>
    <row r="350" spans="1:10" x14ac:dyDescent="0.25">
      <c r="A350" s="294" t="s">
        <v>282</v>
      </c>
      <c r="B350" s="294"/>
      <c r="C350" s="294"/>
      <c r="D350" s="135" t="s">
        <v>103</v>
      </c>
      <c r="E350" s="10" t="s">
        <v>143</v>
      </c>
      <c r="F350" s="13">
        <v>1.92</v>
      </c>
      <c r="G350" s="13">
        <v>4.3600000000000003</v>
      </c>
      <c r="H350" s="13">
        <v>12.7</v>
      </c>
      <c r="I350" s="13">
        <v>98.8</v>
      </c>
      <c r="J350" s="25">
        <v>0</v>
      </c>
    </row>
    <row r="351" spans="1:10" ht="26.45" customHeight="1" x14ac:dyDescent="0.25">
      <c r="A351" s="270" t="s">
        <v>184</v>
      </c>
      <c r="B351" s="270"/>
      <c r="C351" s="270"/>
      <c r="D351" s="24" t="s">
        <v>203</v>
      </c>
      <c r="E351" s="24">
        <v>96.200500000000005</v>
      </c>
      <c r="F351" s="25">
        <v>5.8</v>
      </c>
      <c r="G351" s="25">
        <v>6.2</v>
      </c>
      <c r="H351" s="25">
        <v>26.5</v>
      </c>
      <c r="I351" s="25">
        <v>186</v>
      </c>
      <c r="J351" s="25">
        <v>1.3</v>
      </c>
    </row>
    <row r="352" spans="1:10" ht="14.45" customHeight="1" x14ac:dyDescent="0.25">
      <c r="A352" s="310" t="s">
        <v>153</v>
      </c>
      <c r="B352" s="310"/>
      <c r="C352" s="310"/>
      <c r="D352" s="65">
        <v>180</v>
      </c>
      <c r="E352" s="58" t="s">
        <v>154</v>
      </c>
      <c r="F352" s="13">
        <v>6.32</v>
      </c>
      <c r="G352" s="13">
        <v>5.29</v>
      </c>
      <c r="H352" s="13">
        <v>21.62</v>
      </c>
      <c r="I352" s="11">
        <v>160.57</v>
      </c>
      <c r="J352" s="58">
        <v>2.54</v>
      </c>
    </row>
    <row r="353" spans="1:10" x14ac:dyDescent="0.25">
      <c r="A353" s="243" t="s">
        <v>12</v>
      </c>
      <c r="B353" s="244"/>
      <c r="C353" s="245"/>
      <c r="D353" s="24">
        <f>30+204+180</f>
        <v>414</v>
      </c>
      <c r="E353" s="24"/>
      <c r="F353" s="22">
        <f>SUM(F350:F352)</f>
        <v>14.04</v>
      </c>
      <c r="G353" s="22">
        <f t="shared" ref="G353:J353" si="33">SUM(G350:G352)</f>
        <v>15.850000000000001</v>
      </c>
      <c r="H353" s="22">
        <f t="shared" si="33"/>
        <v>60.820000000000007</v>
      </c>
      <c r="I353" s="22">
        <f t="shared" si="33"/>
        <v>445.37</v>
      </c>
      <c r="J353" s="22">
        <f t="shared" si="33"/>
        <v>3.84</v>
      </c>
    </row>
    <row r="354" spans="1:10" x14ac:dyDescent="0.25">
      <c r="A354" s="269" t="s">
        <v>8</v>
      </c>
      <c r="B354" s="269"/>
      <c r="C354" s="269"/>
      <c r="D354" s="269"/>
      <c r="E354" s="269"/>
      <c r="F354" s="269"/>
      <c r="G354" s="269"/>
      <c r="H354" s="269"/>
      <c r="I354" s="269"/>
      <c r="J354" s="25"/>
    </row>
    <row r="355" spans="1:10" x14ac:dyDescent="0.25">
      <c r="A355" s="249" t="s">
        <v>273</v>
      </c>
      <c r="B355" s="250"/>
      <c r="C355" s="251"/>
      <c r="D355" s="10">
        <v>80</v>
      </c>
      <c r="E355" s="10" t="s">
        <v>77</v>
      </c>
      <c r="F355" s="13">
        <v>0.32</v>
      </c>
      <c r="G355" s="13">
        <v>0.32</v>
      </c>
      <c r="H355" s="13">
        <v>7.84</v>
      </c>
      <c r="I355" s="13">
        <v>35.520000000000003</v>
      </c>
      <c r="J355" s="6">
        <v>8</v>
      </c>
    </row>
    <row r="356" spans="1:10" x14ac:dyDescent="0.25">
      <c r="A356" s="243" t="s">
        <v>12</v>
      </c>
      <c r="B356" s="244"/>
      <c r="C356" s="245"/>
      <c r="D356" s="24">
        <f>SUM(D355)</f>
        <v>80</v>
      </c>
      <c r="E356" s="24"/>
      <c r="F356" s="133">
        <f>SUM(F355)</f>
        <v>0.32</v>
      </c>
      <c r="G356" s="133">
        <f t="shared" ref="G356:J356" si="34">SUM(G355)</f>
        <v>0.32</v>
      </c>
      <c r="H356" s="133">
        <f t="shared" si="34"/>
        <v>7.84</v>
      </c>
      <c r="I356" s="133">
        <f t="shared" si="34"/>
        <v>35.520000000000003</v>
      </c>
      <c r="J356" s="133">
        <f t="shared" si="34"/>
        <v>8</v>
      </c>
    </row>
    <row r="357" spans="1:10" x14ac:dyDescent="0.25">
      <c r="A357" s="268" t="s">
        <v>11</v>
      </c>
      <c r="B357" s="268"/>
      <c r="C357" s="268"/>
      <c r="D357" s="268"/>
      <c r="E357" s="268"/>
      <c r="F357" s="268"/>
      <c r="G357" s="268"/>
      <c r="H357" s="268"/>
      <c r="I357" s="268"/>
      <c r="J357" s="25"/>
    </row>
    <row r="358" spans="1:10" x14ac:dyDescent="0.25">
      <c r="A358" s="289" t="s">
        <v>363</v>
      </c>
      <c r="B358" s="289"/>
      <c r="C358" s="289"/>
      <c r="D358" s="8">
        <v>60</v>
      </c>
      <c r="E358" s="8" t="s">
        <v>166</v>
      </c>
      <c r="F358" s="9">
        <v>1</v>
      </c>
      <c r="G358" s="9">
        <v>0.1</v>
      </c>
      <c r="H358" s="9">
        <v>5.9</v>
      </c>
      <c r="I358" s="9">
        <v>28</v>
      </c>
      <c r="J358" s="14">
        <v>6.7</v>
      </c>
    </row>
    <row r="359" spans="1:10" ht="15" customHeight="1" x14ac:dyDescent="0.25">
      <c r="A359" s="280" t="s">
        <v>42</v>
      </c>
      <c r="B359" s="280"/>
      <c r="C359" s="280"/>
      <c r="D359" s="10">
        <v>60</v>
      </c>
      <c r="E359" s="8">
        <v>15</v>
      </c>
      <c r="F359" s="9">
        <v>0.5</v>
      </c>
      <c r="G359" s="9">
        <v>3.1</v>
      </c>
      <c r="H359" s="9">
        <v>1.7</v>
      </c>
      <c r="I359" s="9">
        <v>36</v>
      </c>
      <c r="J359" s="14">
        <v>4.7</v>
      </c>
    </row>
    <row r="360" spans="1:10" ht="28.9" customHeight="1" x14ac:dyDescent="0.25">
      <c r="A360" s="280" t="s">
        <v>225</v>
      </c>
      <c r="B360" s="280"/>
      <c r="C360" s="280"/>
      <c r="D360" s="26">
        <v>250</v>
      </c>
      <c r="E360" s="24">
        <v>38.201300000000003</v>
      </c>
      <c r="F360" s="25">
        <v>1.4</v>
      </c>
      <c r="G360" s="25">
        <v>1.7</v>
      </c>
      <c r="H360" s="25">
        <v>8.6</v>
      </c>
      <c r="I360" s="25">
        <v>55</v>
      </c>
      <c r="J360" s="25">
        <v>1.5</v>
      </c>
    </row>
    <row r="361" spans="1:10" x14ac:dyDescent="0.25">
      <c r="A361" s="324" t="s">
        <v>226</v>
      </c>
      <c r="B361" s="325"/>
      <c r="C361" s="326"/>
      <c r="D361" s="33">
        <v>240</v>
      </c>
      <c r="E361" s="24" t="s">
        <v>219</v>
      </c>
      <c r="F361" s="25">
        <v>16.03</v>
      </c>
      <c r="G361" s="25">
        <v>13.94</v>
      </c>
      <c r="H361" s="25">
        <v>14.19</v>
      </c>
      <c r="I361" s="25">
        <v>245.61</v>
      </c>
      <c r="J361" s="25">
        <v>17.88</v>
      </c>
    </row>
    <row r="362" spans="1:10" ht="18" customHeight="1" x14ac:dyDescent="0.25">
      <c r="A362" s="295" t="s">
        <v>323</v>
      </c>
      <c r="B362" s="296"/>
      <c r="C362" s="297"/>
      <c r="D362" s="24">
        <v>180</v>
      </c>
      <c r="E362" s="24">
        <v>394.16</v>
      </c>
      <c r="F362" s="25">
        <v>0.28999999999999998</v>
      </c>
      <c r="G362" s="25">
        <v>0.06</v>
      </c>
      <c r="H362" s="25">
        <v>20.14</v>
      </c>
      <c r="I362" s="25">
        <v>82.24</v>
      </c>
      <c r="J362" s="25" t="s">
        <v>77</v>
      </c>
    </row>
    <row r="363" spans="1:10" x14ac:dyDescent="0.25">
      <c r="A363" s="136" t="s">
        <v>23</v>
      </c>
      <c r="B363" s="137"/>
      <c r="C363" s="138"/>
      <c r="D363" s="10">
        <v>45</v>
      </c>
      <c r="E363" s="10" t="s">
        <v>80</v>
      </c>
      <c r="F363" s="13">
        <v>2.75</v>
      </c>
      <c r="G363" s="13">
        <v>0.54</v>
      </c>
      <c r="H363" s="13">
        <v>17.96</v>
      </c>
      <c r="I363" s="13">
        <v>87.66</v>
      </c>
      <c r="J363" s="25">
        <v>0</v>
      </c>
    </row>
    <row r="364" spans="1:10" x14ac:dyDescent="0.25">
      <c r="A364" s="249" t="s">
        <v>13</v>
      </c>
      <c r="B364" s="250"/>
      <c r="C364" s="251"/>
      <c r="D364" s="10">
        <v>20</v>
      </c>
      <c r="E364" s="10" t="s">
        <v>79</v>
      </c>
      <c r="F364" s="13">
        <v>1.52</v>
      </c>
      <c r="G364" s="13">
        <f>0.16</f>
        <v>0.16</v>
      </c>
      <c r="H364" s="13">
        <v>9.84</v>
      </c>
      <c r="I364" s="13">
        <v>46.88</v>
      </c>
      <c r="J364" s="6">
        <v>0</v>
      </c>
    </row>
    <row r="365" spans="1:10" x14ac:dyDescent="0.25">
      <c r="A365" s="237" t="s">
        <v>12</v>
      </c>
      <c r="B365" s="238"/>
      <c r="C365" s="239"/>
      <c r="D365" s="29">
        <f>D364+D363+D362+D360+D358+50+220</f>
        <v>825</v>
      </c>
      <c r="E365" s="29"/>
      <c r="F365" s="28">
        <f>SUM(F358:F364)</f>
        <v>23.49</v>
      </c>
      <c r="G365" s="28">
        <f t="shared" ref="G365:J365" si="35">SUM(G358:G364)</f>
        <v>19.599999999999998</v>
      </c>
      <c r="H365" s="28">
        <f t="shared" si="35"/>
        <v>78.330000000000013</v>
      </c>
      <c r="I365" s="28">
        <f t="shared" si="35"/>
        <v>581.39</v>
      </c>
      <c r="J365" s="28">
        <f t="shared" si="35"/>
        <v>30.78</v>
      </c>
    </row>
    <row r="366" spans="1:10" x14ac:dyDescent="0.25">
      <c r="A366" s="268" t="s">
        <v>37</v>
      </c>
      <c r="B366" s="268"/>
      <c r="C366" s="268"/>
      <c r="D366" s="268"/>
      <c r="E366" s="268"/>
      <c r="F366" s="268"/>
      <c r="G366" s="268"/>
      <c r="H366" s="268"/>
      <c r="I366" s="268"/>
      <c r="J366" s="25"/>
    </row>
    <row r="367" spans="1:10" x14ac:dyDescent="0.25">
      <c r="A367" s="280" t="s">
        <v>52</v>
      </c>
      <c r="B367" s="280"/>
      <c r="C367" s="280"/>
      <c r="D367" s="24">
        <v>20</v>
      </c>
      <c r="E367" s="24">
        <v>327</v>
      </c>
      <c r="F367" s="25">
        <v>5.08</v>
      </c>
      <c r="G367" s="25">
        <v>4.5999999999999996</v>
      </c>
      <c r="H367" s="25">
        <v>0.28000000000000003</v>
      </c>
      <c r="I367" s="25">
        <v>62.8</v>
      </c>
      <c r="J367" s="25" t="s">
        <v>77</v>
      </c>
    </row>
    <row r="368" spans="1:10" x14ac:dyDescent="0.25">
      <c r="A368" s="249" t="s">
        <v>306</v>
      </c>
      <c r="B368" s="250"/>
      <c r="C368" s="251"/>
      <c r="D368" s="33">
        <v>230</v>
      </c>
      <c r="E368" s="24">
        <v>152.16</v>
      </c>
      <c r="F368" s="25">
        <v>11.04</v>
      </c>
      <c r="G368" s="25">
        <v>12.29</v>
      </c>
      <c r="H368" s="25">
        <v>56.42</v>
      </c>
      <c r="I368" s="25">
        <v>380.43</v>
      </c>
      <c r="J368" s="25">
        <v>44.4</v>
      </c>
    </row>
    <row r="369" spans="1:10" x14ac:dyDescent="0.25">
      <c r="A369" s="249" t="s">
        <v>13</v>
      </c>
      <c r="B369" s="250"/>
      <c r="C369" s="251"/>
      <c r="D369" s="10">
        <v>20</v>
      </c>
      <c r="E369" s="10" t="s">
        <v>79</v>
      </c>
      <c r="F369" s="13">
        <v>1.52</v>
      </c>
      <c r="G369" s="13">
        <f>0.16</f>
        <v>0.16</v>
      </c>
      <c r="H369" s="13">
        <v>9.84</v>
      </c>
      <c r="I369" s="13">
        <v>46.88</v>
      </c>
      <c r="J369" s="6">
        <v>0</v>
      </c>
    </row>
    <row r="370" spans="1:10" x14ac:dyDescent="0.25">
      <c r="A370" s="249" t="s">
        <v>285</v>
      </c>
      <c r="B370" s="250"/>
      <c r="C370" s="251"/>
      <c r="D370" s="10" t="s">
        <v>348</v>
      </c>
      <c r="E370" s="10">
        <v>251</v>
      </c>
      <c r="F370" s="13">
        <f>5.22</f>
        <v>5.22</v>
      </c>
      <c r="G370" s="13">
        <v>5.76</v>
      </c>
      <c r="H370" s="13">
        <f>7.2+3.99</f>
        <v>11.190000000000001</v>
      </c>
      <c r="I370" s="13">
        <f>101.52+15.97</f>
        <v>117.49</v>
      </c>
      <c r="J370" s="25">
        <v>1.26</v>
      </c>
    </row>
    <row r="371" spans="1:10" x14ac:dyDescent="0.25">
      <c r="A371" s="237" t="s">
        <v>12</v>
      </c>
      <c r="B371" s="238"/>
      <c r="C371" s="239"/>
      <c r="D371" s="172">
        <f>185+D369+D368+D367</f>
        <v>455</v>
      </c>
      <c r="E371" s="172"/>
      <c r="F371" s="22">
        <f>SUM(F367:F370)</f>
        <v>22.859999999999996</v>
      </c>
      <c r="G371" s="22">
        <f t="shared" ref="G371:J371" si="36">SUM(G367:G370)</f>
        <v>22.810000000000002</v>
      </c>
      <c r="H371" s="22">
        <f t="shared" si="36"/>
        <v>77.73</v>
      </c>
      <c r="I371" s="22">
        <f t="shared" si="36"/>
        <v>607.6</v>
      </c>
      <c r="J371" s="22">
        <f t="shared" si="36"/>
        <v>45.66</v>
      </c>
    </row>
    <row r="372" spans="1:10" ht="21" customHeight="1" x14ac:dyDescent="0.25">
      <c r="A372" s="243" t="s">
        <v>14</v>
      </c>
      <c r="B372" s="244"/>
      <c r="C372" s="245"/>
      <c r="D372" s="172"/>
      <c r="E372" s="172"/>
      <c r="F372" s="22">
        <f>F371+F365+F356+F353</f>
        <v>60.709999999999994</v>
      </c>
      <c r="G372" s="22">
        <f t="shared" ref="G372:J372" si="37">G371+G365+G356+G353</f>
        <v>58.58</v>
      </c>
      <c r="H372" s="22">
        <f t="shared" si="37"/>
        <v>224.72000000000003</v>
      </c>
      <c r="I372" s="22">
        <f t="shared" si="37"/>
        <v>1669.88</v>
      </c>
      <c r="J372" s="22">
        <f t="shared" si="37"/>
        <v>88.28</v>
      </c>
    </row>
    <row r="373" spans="1:10" ht="43.5" x14ac:dyDescent="0.25">
      <c r="A373" s="269" t="s">
        <v>0</v>
      </c>
      <c r="B373" s="269"/>
      <c r="C373" s="269"/>
      <c r="D373" s="172" t="s">
        <v>1</v>
      </c>
      <c r="E373" s="172" t="s">
        <v>2</v>
      </c>
      <c r="F373" s="22" t="s">
        <v>3</v>
      </c>
      <c r="G373" s="22" t="s">
        <v>4</v>
      </c>
      <c r="H373" s="22" t="s">
        <v>28</v>
      </c>
      <c r="I373" s="23" t="s">
        <v>75</v>
      </c>
      <c r="J373" s="22" t="s">
        <v>76</v>
      </c>
    </row>
    <row r="374" spans="1:10" x14ac:dyDescent="0.25">
      <c r="A374" s="268" t="s">
        <v>220</v>
      </c>
      <c r="B374" s="268"/>
      <c r="C374" s="268"/>
      <c r="D374" s="268"/>
      <c r="E374" s="268"/>
      <c r="F374" s="268"/>
      <c r="G374" s="268"/>
      <c r="H374" s="268"/>
      <c r="I374" s="268"/>
      <c r="J374" s="268"/>
    </row>
    <row r="375" spans="1:10" x14ac:dyDescent="0.25">
      <c r="A375" s="268" t="s">
        <v>18</v>
      </c>
      <c r="B375" s="268"/>
      <c r="C375" s="268"/>
      <c r="D375" s="268"/>
      <c r="E375" s="268"/>
      <c r="F375" s="268"/>
      <c r="G375" s="268"/>
      <c r="H375" s="268"/>
      <c r="I375" s="268"/>
      <c r="J375" s="268"/>
    </row>
    <row r="376" spans="1:10" x14ac:dyDescent="0.25">
      <c r="A376" s="290" t="s">
        <v>9</v>
      </c>
      <c r="B376" s="290"/>
      <c r="C376" s="290"/>
      <c r="D376" s="290"/>
      <c r="E376" s="290"/>
      <c r="F376" s="290"/>
      <c r="G376" s="290"/>
      <c r="H376" s="290"/>
      <c r="I376" s="290"/>
      <c r="J376" s="290"/>
    </row>
    <row r="377" spans="1:10" ht="29.25" customHeight="1" x14ac:dyDescent="0.25">
      <c r="A377" s="298" t="s">
        <v>314</v>
      </c>
      <c r="B377" s="299"/>
      <c r="C377" s="300"/>
      <c r="D377" s="135" t="s">
        <v>202</v>
      </c>
      <c r="E377" s="10" t="s">
        <v>250</v>
      </c>
      <c r="F377" s="13">
        <v>4.68</v>
      </c>
      <c r="G377" s="13">
        <v>7.15</v>
      </c>
      <c r="H377" s="13">
        <v>12.7</v>
      </c>
      <c r="I377" s="13">
        <v>134.97999999999999</v>
      </c>
      <c r="J377" s="14">
        <v>7.0000000000000007E-2</v>
      </c>
    </row>
    <row r="378" spans="1:10" ht="34.9" customHeight="1" x14ac:dyDescent="0.25">
      <c r="A378" s="307" t="s">
        <v>186</v>
      </c>
      <c r="B378" s="308"/>
      <c r="C378" s="309"/>
      <c r="D378" s="24" t="s">
        <v>203</v>
      </c>
      <c r="E378" s="24">
        <v>98.200500000000005</v>
      </c>
      <c r="F378" s="29">
        <v>4.9000000000000004</v>
      </c>
      <c r="G378" s="29">
        <v>5.8</v>
      </c>
      <c r="H378" s="29">
        <v>28.7</v>
      </c>
      <c r="I378" s="29">
        <v>187</v>
      </c>
      <c r="J378" s="25">
        <v>1.4</v>
      </c>
    </row>
    <row r="379" spans="1:10" ht="14.45" customHeight="1" x14ac:dyDescent="0.25">
      <c r="A379" s="252" t="s">
        <v>73</v>
      </c>
      <c r="B379" s="252"/>
      <c r="C379" s="252"/>
      <c r="D379" s="12">
        <v>180</v>
      </c>
      <c r="E379" s="10" t="s">
        <v>199</v>
      </c>
      <c r="F379" s="25">
        <v>0</v>
      </c>
      <c r="G379" s="25">
        <v>0</v>
      </c>
      <c r="H379" s="25">
        <v>10</v>
      </c>
      <c r="I379" s="25">
        <v>40</v>
      </c>
      <c r="J379" s="25">
        <v>0</v>
      </c>
    </row>
    <row r="380" spans="1:10" x14ac:dyDescent="0.25">
      <c r="A380" s="243" t="s">
        <v>12</v>
      </c>
      <c r="B380" s="244"/>
      <c r="C380" s="245"/>
      <c r="D380" s="24">
        <f>D379+204+30+10.5</f>
        <v>424.5</v>
      </c>
      <c r="E380" s="24"/>
      <c r="F380" s="22">
        <f>SUM(F377:F379)</f>
        <v>9.58</v>
      </c>
      <c r="G380" s="22">
        <f t="shared" ref="G380:J380" si="38">SUM(G377:G379)</f>
        <v>12.95</v>
      </c>
      <c r="H380" s="22">
        <f t="shared" si="38"/>
        <v>51.4</v>
      </c>
      <c r="I380" s="22">
        <f t="shared" si="38"/>
        <v>361.98</v>
      </c>
      <c r="J380" s="22">
        <f t="shared" si="38"/>
        <v>1.47</v>
      </c>
    </row>
    <row r="381" spans="1:10" x14ac:dyDescent="0.25">
      <c r="A381" s="269" t="s">
        <v>8</v>
      </c>
      <c r="B381" s="269"/>
      <c r="C381" s="269"/>
      <c r="D381" s="269"/>
      <c r="E381" s="269"/>
      <c r="F381" s="269"/>
      <c r="G381" s="269"/>
      <c r="H381" s="269"/>
      <c r="I381" s="269"/>
      <c r="J381" s="25"/>
    </row>
    <row r="382" spans="1:10" hidden="1" x14ac:dyDescent="0.25">
      <c r="A382" s="320" t="s">
        <v>12</v>
      </c>
      <c r="B382" s="321"/>
      <c r="C382" s="322"/>
      <c r="D382" s="24"/>
      <c r="E382" s="24"/>
      <c r="F382" s="22" t="e">
        <f>SUM(#REF!)</f>
        <v>#REF!</v>
      </c>
      <c r="G382" s="22" t="e">
        <f>SUM(#REF!)</f>
        <v>#REF!</v>
      </c>
      <c r="H382" s="22" t="e">
        <f>SUM(#REF!)</f>
        <v>#REF!</v>
      </c>
      <c r="I382" s="22" t="e">
        <f>SUM(#REF!)</f>
        <v>#REF!</v>
      </c>
      <c r="J382" s="25" t="e">
        <f>SUM(#REF!)</f>
        <v>#REF!</v>
      </c>
    </row>
    <row r="383" spans="1:10" x14ac:dyDescent="0.25">
      <c r="A383" s="249" t="s">
        <v>24</v>
      </c>
      <c r="B383" s="250"/>
      <c r="C383" s="251"/>
      <c r="D383" s="24">
        <v>180</v>
      </c>
      <c r="E383" s="24" t="s">
        <v>245</v>
      </c>
      <c r="F383" s="25">
        <v>0.9</v>
      </c>
      <c r="G383" s="25">
        <v>0.18</v>
      </c>
      <c r="H383" s="25">
        <v>18.18</v>
      </c>
      <c r="I383" s="25">
        <v>77.94</v>
      </c>
      <c r="J383" s="25">
        <v>3.6</v>
      </c>
    </row>
    <row r="384" spans="1:10" x14ac:dyDescent="0.25">
      <c r="A384" s="243" t="s">
        <v>12</v>
      </c>
      <c r="B384" s="244"/>
      <c r="C384" s="245"/>
      <c r="D384" s="172">
        <f>SUM(D382:D383)</f>
        <v>180</v>
      </c>
      <c r="E384" s="172"/>
      <c r="F384" s="22">
        <f>F383</f>
        <v>0.9</v>
      </c>
      <c r="G384" s="22">
        <f t="shared" ref="G384:J384" si="39">G383</f>
        <v>0.18</v>
      </c>
      <c r="H384" s="22">
        <f t="shared" si="39"/>
        <v>18.18</v>
      </c>
      <c r="I384" s="22">
        <f t="shared" si="39"/>
        <v>77.94</v>
      </c>
      <c r="J384" s="22">
        <f t="shared" si="39"/>
        <v>3.6</v>
      </c>
    </row>
    <row r="385" spans="1:10" x14ac:dyDescent="0.25">
      <c r="A385" s="268" t="s">
        <v>11</v>
      </c>
      <c r="B385" s="268"/>
      <c r="C385" s="268"/>
      <c r="D385" s="268"/>
      <c r="E385" s="268"/>
      <c r="F385" s="268"/>
      <c r="G385" s="268"/>
      <c r="H385" s="268"/>
      <c r="I385" s="268"/>
      <c r="J385" s="25"/>
    </row>
    <row r="386" spans="1:10" ht="24.75" customHeight="1" x14ac:dyDescent="0.25">
      <c r="A386" s="301" t="s">
        <v>364</v>
      </c>
      <c r="B386" s="302"/>
      <c r="C386" s="303"/>
      <c r="D386" s="33">
        <v>60</v>
      </c>
      <c r="E386" s="33">
        <v>10.2005</v>
      </c>
      <c r="F386" s="176">
        <v>0.68</v>
      </c>
      <c r="G386" s="176">
        <v>4.05</v>
      </c>
      <c r="H386" s="176">
        <v>8.58</v>
      </c>
      <c r="I386" s="176">
        <v>73.44</v>
      </c>
      <c r="J386" s="14">
        <v>2.6</v>
      </c>
    </row>
    <row r="387" spans="1:10" ht="32.25" customHeight="1" x14ac:dyDescent="0.25">
      <c r="A387" s="323" t="s">
        <v>365</v>
      </c>
      <c r="B387" s="323"/>
      <c r="C387" s="323"/>
      <c r="D387" s="26" t="s">
        <v>213</v>
      </c>
      <c r="E387" s="24">
        <v>27.200500000000002</v>
      </c>
      <c r="F387" s="25">
        <f>6.53</f>
        <v>6.53</v>
      </c>
      <c r="G387" s="25">
        <v>12.62</v>
      </c>
      <c r="H387" s="25">
        <v>10.82</v>
      </c>
      <c r="I387" s="25">
        <v>181.73</v>
      </c>
      <c r="J387" s="25">
        <v>52.7</v>
      </c>
    </row>
    <row r="388" spans="1:10" ht="24.75" customHeight="1" x14ac:dyDescent="0.25">
      <c r="A388" s="298" t="s">
        <v>377</v>
      </c>
      <c r="B388" s="299"/>
      <c r="C388" s="300"/>
      <c r="D388" s="10">
        <v>80</v>
      </c>
      <c r="E388" s="10">
        <v>275.16000000000003</v>
      </c>
      <c r="F388" s="13">
        <v>16.11</v>
      </c>
      <c r="G388" s="13">
        <v>2.1</v>
      </c>
      <c r="H388" s="13">
        <v>5</v>
      </c>
      <c r="I388" s="11">
        <v>103.18</v>
      </c>
      <c r="J388" s="10">
        <v>4.13</v>
      </c>
    </row>
    <row r="389" spans="1:10" x14ac:dyDescent="0.25">
      <c r="A389" s="249" t="s">
        <v>16</v>
      </c>
      <c r="B389" s="250"/>
      <c r="C389" s="251"/>
      <c r="D389" s="24">
        <v>150</v>
      </c>
      <c r="E389" s="24">
        <v>206.20050000000001</v>
      </c>
      <c r="F389" s="29">
        <v>3.2</v>
      </c>
      <c r="G389" s="29">
        <v>3.6</v>
      </c>
      <c r="H389" s="29">
        <v>21.7</v>
      </c>
      <c r="I389" s="29">
        <v>132</v>
      </c>
      <c r="J389" s="25">
        <v>25.5</v>
      </c>
    </row>
    <row r="390" spans="1:10" ht="26.25" customHeight="1" x14ac:dyDescent="0.25">
      <c r="A390" s="295" t="s">
        <v>323</v>
      </c>
      <c r="B390" s="296"/>
      <c r="C390" s="297"/>
      <c r="D390" s="24">
        <v>180</v>
      </c>
      <c r="E390" s="24">
        <v>394.16</v>
      </c>
      <c r="F390" s="25">
        <v>0.64</v>
      </c>
      <c r="G390" s="25">
        <v>0.04</v>
      </c>
      <c r="H390" s="25">
        <v>18.3</v>
      </c>
      <c r="I390" s="25">
        <v>76.11</v>
      </c>
      <c r="J390" s="25">
        <v>0.5</v>
      </c>
    </row>
    <row r="391" spans="1:10" x14ac:dyDescent="0.25">
      <c r="A391" s="136" t="s">
        <v>23</v>
      </c>
      <c r="B391" s="137"/>
      <c r="C391" s="138"/>
      <c r="D391" s="10">
        <v>45</v>
      </c>
      <c r="E391" s="10" t="s">
        <v>80</v>
      </c>
      <c r="F391" s="13">
        <v>2.75</v>
      </c>
      <c r="G391" s="13">
        <v>0.54</v>
      </c>
      <c r="H391" s="13">
        <v>17.96</v>
      </c>
      <c r="I391" s="13">
        <v>87.66</v>
      </c>
      <c r="J391" s="25">
        <v>0</v>
      </c>
    </row>
    <row r="392" spans="1:10" x14ac:dyDescent="0.25">
      <c r="A392" s="249" t="s">
        <v>13</v>
      </c>
      <c r="B392" s="250"/>
      <c r="C392" s="251"/>
      <c r="D392" s="24">
        <v>25</v>
      </c>
      <c r="E392" s="24" t="s">
        <v>79</v>
      </c>
      <c r="F392" s="25">
        <v>1.9</v>
      </c>
      <c r="G392" s="25">
        <v>0.2</v>
      </c>
      <c r="H392" s="25">
        <v>12.3</v>
      </c>
      <c r="I392" s="25">
        <v>58.6</v>
      </c>
      <c r="J392" s="25">
        <v>0</v>
      </c>
    </row>
    <row r="393" spans="1:10" x14ac:dyDescent="0.25">
      <c r="A393" s="243" t="s">
        <v>12</v>
      </c>
      <c r="B393" s="244"/>
      <c r="C393" s="245"/>
      <c r="D393" s="24">
        <f>250+15+D388+D389+D390+D391+D392</f>
        <v>745</v>
      </c>
      <c r="E393" s="24"/>
      <c r="F393" s="22">
        <f>SUM(F387:F392)</f>
        <v>31.13</v>
      </c>
      <c r="G393" s="22">
        <f>SUM(G387:G392)</f>
        <v>19.099999999999998</v>
      </c>
      <c r="H393" s="22">
        <f>SUM(H387:H392)</f>
        <v>86.08</v>
      </c>
      <c r="I393" s="22">
        <f>SUM(I387:I392)</f>
        <v>639.28</v>
      </c>
      <c r="J393" s="22">
        <f>SUM(J387:J392)</f>
        <v>82.830000000000013</v>
      </c>
    </row>
    <row r="394" spans="1:10" x14ac:dyDescent="0.25">
      <c r="A394" s="268" t="s">
        <v>37</v>
      </c>
      <c r="B394" s="268"/>
      <c r="C394" s="268"/>
      <c r="D394" s="268"/>
      <c r="E394" s="268"/>
      <c r="F394" s="268"/>
      <c r="G394" s="268"/>
      <c r="H394" s="268"/>
      <c r="I394" s="268"/>
      <c r="J394" s="25"/>
    </row>
    <row r="395" spans="1:10" x14ac:dyDescent="0.25">
      <c r="A395" s="266" t="s">
        <v>27</v>
      </c>
      <c r="B395" s="266"/>
      <c r="C395" s="266"/>
      <c r="D395" s="32">
        <v>200</v>
      </c>
      <c r="E395" s="24">
        <v>44.200499999999998</v>
      </c>
      <c r="F395" s="29">
        <v>5.8</v>
      </c>
      <c r="G395" s="29">
        <v>5.2</v>
      </c>
      <c r="H395" s="29">
        <v>20</v>
      </c>
      <c r="I395" s="29">
        <v>151</v>
      </c>
      <c r="J395" s="25">
        <v>1.8</v>
      </c>
    </row>
    <row r="396" spans="1:10" x14ac:dyDescent="0.25">
      <c r="A396" s="15" t="s">
        <v>68</v>
      </c>
      <c r="B396" s="15"/>
      <c r="C396" s="15"/>
      <c r="D396" s="24">
        <v>70</v>
      </c>
      <c r="E396" s="24" t="s">
        <v>307</v>
      </c>
      <c r="F396" s="25">
        <v>10.52</v>
      </c>
      <c r="G396" s="25">
        <v>4.8499999999999996</v>
      </c>
      <c r="H396" s="25">
        <v>32.9</v>
      </c>
      <c r="I396" s="25">
        <v>217.2</v>
      </c>
      <c r="J396" s="25">
        <v>0.14000000000000001</v>
      </c>
    </row>
    <row r="397" spans="1:10" ht="26.25" customHeight="1" x14ac:dyDescent="0.25">
      <c r="A397" s="298" t="s">
        <v>217</v>
      </c>
      <c r="B397" s="299"/>
      <c r="C397" s="300"/>
      <c r="D397" s="10">
        <v>180</v>
      </c>
      <c r="E397" s="10">
        <v>233.20050000000001</v>
      </c>
      <c r="F397" s="13">
        <v>0.1</v>
      </c>
      <c r="G397" s="13">
        <v>0.06</v>
      </c>
      <c r="H397" s="13">
        <v>10.44</v>
      </c>
      <c r="I397" s="13">
        <v>42.73</v>
      </c>
      <c r="J397" s="25">
        <v>1.49</v>
      </c>
    </row>
    <row r="398" spans="1:10" x14ac:dyDescent="0.25">
      <c r="A398" s="249" t="s">
        <v>13</v>
      </c>
      <c r="B398" s="250"/>
      <c r="C398" s="251"/>
      <c r="D398" s="10">
        <v>20</v>
      </c>
      <c r="E398" s="10" t="s">
        <v>79</v>
      </c>
      <c r="F398" s="13">
        <v>1.52</v>
      </c>
      <c r="G398" s="13">
        <f>0.16</f>
        <v>0.16</v>
      </c>
      <c r="H398" s="13">
        <v>9.84</v>
      </c>
      <c r="I398" s="13">
        <v>46.88</v>
      </c>
      <c r="J398" s="6">
        <v>0</v>
      </c>
    </row>
    <row r="399" spans="1:10" x14ac:dyDescent="0.25">
      <c r="A399" s="243" t="s">
        <v>12</v>
      </c>
      <c r="B399" s="244"/>
      <c r="C399" s="245"/>
      <c r="D399" s="172">
        <f>SUM(D395:D398)</f>
        <v>470</v>
      </c>
      <c r="E399" s="172"/>
      <c r="F399" s="22">
        <f>SUM(F395:F398)</f>
        <v>17.940000000000001</v>
      </c>
      <c r="G399" s="22">
        <f t="shared" ref="G399:J399" si="40">SUM(G395:G398)</f>
        <v>10.270000000000001</v>
      </c>
      <c r="H399" s="22">
        <f t="shared" si="40"/>
        <v>73.179999999999993</v>
      </c>
      <c r="I399" s="22">
        <f t="shared" si="40"/>
        <v>457.81</v>
      </c>
      <c r="J399" s="22">
        <f t="shared" si="40"/>
        <v>3.4299999999999997</v>
      </c>
    </row>
    <row r="400" spans="1:10" ht="31.5" customHeight="1" x14ac:dyDescent="0.25">
      <c r="A400" s="243" t="s">
        <v>14</v>
      </c>
      <c r="B400" s="244"/>
      <c r="C400" s="245"/>
      <c r="D400" s="172"/>
      <c r="E400" s="172"/>
      <c r="F400" s="22">
        <f>F399+F393+F384+F380</f>
        <v>59.55</v>
      </c>
      <c r="G400" s="22">
        <f>G399+G393+G384+G380</f>
        <v>42.5</v>
      </c>
      <c r="H400" s="22">
        <f>H399+H393+H384+H380</f>
        <v>228.84</v>
      </c>
      <c r="I400" s="22">
        <f>I399+I393+I384+I380</f>
        <v>1537.01</v>
      </c>
      <c r="J400" s="22">
        <f>J399+J393+J384+J380</f>
        <v>91.330000000000013</v>
      </c>
    </row>
    <row r="401" spans="1:10" ht="7.5" customHeight="1" x14ac:dyDescent="0.25"/>
    <row r="402" spans="1:10" ht="40.15" customHeight="1" x14ac:dyDescent="0.25">
      <c r="A402" s="317" t="s">
        <v>0</v>
      </c>
      <c r="B402" s="318"/>
      <c r="C402" s="319"/>
      <c r="D402" s="172" t="s">
        <v>1</v>
      </c>
      <c r="E402" s="172" t="s">
        <v>2</v>
      </c>
      <c r="F402" s="22" t="s">
        <v>3</v>
      </c>
      <c r="G402" s="22" t="s">
        <v>4</v>
      </c>
      <c r="H402" s="22" t="s">
        <v>28</v>
      </c>
      <c r="I402" s="23" t="s">
        <v>75</v>
      </c>
      <c r="J402" s="22" t="s">
        <v>76</v>
      </c>
    </row>
    <row r="403" spans="1:10" ht="11.45" customHeight="1" x14ac:dyDescent="0.25">
      <c r="A403" s="314" t="s">
        <v>220</v>
      </c>
      <c r="B403" s="315"/>
      <c r="C403" s="315"/>
      <c r="D403" s="315"/>
      <c r="E403" s="315"/>
      <c r="F403" s="315"/>
      <c r="G403" s="315"/>
      <c r="H403" s="315"/>
      <c r="I403" s="315"/>
      <c r="J403" s="316"/>
    </row>
    <row r="404" spans="1:10" ht="11.45" customHeight="1" x14ac:dyDescent="0.25">
      <c r="A404" s="314" t="s">
        <v>20</v>
      </c>
      <c r="B404" s="315"/>
      <c r="C404" s="315"/>
      <c r="D404" s="315"/>
      <c r="E404" s="315"/>
      <c r="F404" s="315"/>
      <c r="G404" s="315"/>
      <c r="H404" s="315"/>
      <c r="I404" s="315"/>
      <c r="J404" s="316"/>
    </row>
    <row r="405" spans="1:10" ht="12.6" customHeight="1" x14ac:dyDescent="0.25">
      <c r="A405" s="314" t="s">
        <v>9</v>
      </c>
      <c r="B405" s="315"/>
      <c r="C405" s="315"/>
      <c r="D405" s="315"/>
      <c r="E405" s="315"/>
      <c r="F405" s="315"/>
      <c r="G405" s="315"/>
      <c r="H405" s="315"/>
      <c r="I405" s="316"/>
      <c r="J405" s="25"/>
    </row>
    <row r="406" spans="1:10" ht="21.6" customHeight="1" x14ac:dyDescent="0.25">
      <c r="A406" s="294" t="s">
        <v>282</v>
      </c>
      <c r="B406" s="294"/>
      <c r="C406" s="294"/>
      <c r="D406" s="135" t="s">
        <v>103</v>
      </c>
      <c r="E406" s="10" t="s">
        <v>143</v>
      </c>
      <c r="F406" s="13">
        <v>1.92</v>
      </c>
      <c r="G406" s="13">
        <v>4.3600000000000003</v>
      </c>
      <c r="H406" s="13">
        <v>12.7</v>
      </c>
      <c r="I406" s="13">
        <v>98.8</v>
      </c>
      <c r="J406" s="25">
        <v>0</v>
      </c>
    </row>
    <row r="407" spans="1:10" ht="36" customHeight="1" x14ac:dyDescent="0.25">
      <c r="A407" s="270" t="s">
        <v>187</v>
      </c>
      <c r="B407" s="270"/>
      <c r="C407" s="270"/>
      <c r="D407" s="24" t="s">
        <v>203</v>
      </c>
      <c r="E407" s="24">
        <v>99.200500000000005</v>
      </c>
      <c r="F407" s="25">
        <v>5.43</v>
      </c>
      <c r="G407" s="25">
        <v>5.73</v>
      </c>
      <c r="H407" s="25">
        <v>26.19</v>
      </c>
      <c r="I407" s="25">
        <v>178.73</v>
      </c>
      <c r="J407" s="25">
        <v>1.3</v>
      </c>
    </row>
    <row r="408" spans="1:10" x14ac:dyDescent="0.25">
      <c r="A408" s="249" t="s">
        <v>151</v>
      </c>
      <c r="B408" s="250"/>
      <c r="C408" s="251"/>
      <c r="D408" s="24">
        <v>180</v>
      </c>
      <c r="E408" s="24" t="s">
        <v>248</v>
      </c>
      <c r="F408" s="13">
        <v>5.22</v>
      </c>
      <c r="G408" s="13">
        <v>4.5</v>
      </c>
      <c r="H408" s="13">
        <v>21.14</v>
      </c>
      <c r="I408" s="13">
        <v>147.19</v>
      </c>
      <c r="J408" s="14">
        <v>2.34</v>
      </c>
    </row>
    <row r="409" spans="1:10" x14ac:dyDescent="0.25">
      <c r="A409" s="243" t="s">
        <v>12</v>
      </c>
      <c r="B409" s="244"/>
      <c r="C409" s="245"/>
      <c r="D409" s="172">
        <f>30+204+D408</f>
        <v>414</v>
      </c>
      <c r="E409" s="24"/>
      <c r="F409" s="22">
        <f>SUM(F406:F408)</f>
        <v>12.57</v>
      </c>
      <c r="G409" s="22">
        <f t="shared" ref="G409:J409" si="41">SUM(G406:G408)</f>
        <v>14.59</v>
      </c>
      <c r="H409" s="22">
        <f t="shared" si="41"/>
        <v>60.03</v>
      </c>
      <c r="I409" s="22">
        <f t="shared" si="41"/>
        <v>424.71999999999997</v>
      </c>
      <c r="J409" s="22">
        <f t="shared" si="41"/>
        <v>3.6399999999999997</v>
      </c>
    </row>
    <row r="410" spans="1:10" ht="11.45" customHeight="1" x14ac:dyDescent="0.25">
      <c r="A410" s="314" t="s">
        <v>8</v>
      </c>
      <c r="B410" s="315"/>
      <c r="C410" s="315"/>
      <c r="D410" s="315"/>
      <c r="E410" s="315"/>
      <c r="F410" s="315"/>
      <c r="G410" s="315"/>
      <c r="H410" s="315"/>
      <c r="I410" s="316"/>
      <c r="J410" s="25"/>
    </row>
    <row r="411" spans="1:10" x14ac:dyDescent="0.25">
      <c r="A411" s="249" t="s">
        <v>273</v>
      </c>
      <c r="B411" s="250"/>
      <c r="C411" s="251"/>
      <c r="D411" s="24">
        <v>110</v>
      </c>
      <c r="E411" s="24" t="s">
        <v>77</v>
      </c>
      <c r="F411" s="25">
        <v>0.44</v>
      </c>
      <c r="G411" s="25">
        <v>0.44</v>
      </c>
      <c r="H411" s="25">
        <v>10.78</v>
      </c>
      <c r="I411" s="25">
        <v>48.84</v>
      </c>
      <c r="J411" s="25">
        <v>11</v>
      </c>
    </row>
    <row r="412" spans="1:10" ht="15" customHeight="1" x14ac:dyDescent="0.25">
      <c r="A412" s="243" t="s">
        <v>12</v>
      </c>
      <c r="B412" s="244"/>
      <c r="C412" s="245"/>
      <c r="D412" s="172">
        <f>SUM(D411)</f>
        <v>110</v>
      </c>
      <c r="E412" s="24"/>
      <c r="F412" s="22">
        <f>SUM(F411:F411)</f>
        <v>0.44</v>
      </c>
      <c r="G412" s="22">
        <f>SUM(G411:G411)</f>
        <v>0.44</v>
      </c>
      <c r="H412" s="22">
        <f>SUM(H411:H411)</f>
        <v>10.78</v>
      </c>
      <c r="I412" s="22">
        <f t="shared" ref="I412:J412" si="42">SUM(I411:I411)</f>
        <v>48.84</v>
      </c>
      <c r="J412" s="22">
        <f t="shared" si="42"/>
        <v>11</v>
      </c>
    </row>
    <row r="413" spans="1:10" ht="12" customHeight="1" x14ac:dyDescent="0.25">
      <c r="A413" s="314" t="s">
        <v>11</v>
      </c>
      <c r="B413" s="315"/>
      <c r="C413" s="315"/>
      <c r="D413" s="315"/>
      <c r="E413" s="315"/>
      <c r="F413" s="315"/>
      <c r="G413" s="315"/>
      <c r="H413" s="315"/>
      <c r="I413" s="316"/>
      <c r="J413" s="25"/>
    </row>
    <row r="414" spans="1:10" ht="12.6" customHeight="1" x14ac:dyDescent="0.25">
      <c r="A414" s="249" t="s">
        <v>337</v>
      </c>
      <c r="B414" s="250"/>
      <c r="C414" s="251"/>
      <c r="D414" s="24">
        <v>60</v>
      </c>
      <c r="E414" s="33">
        <v>19.200500000000002</v>
      </c>
      <c r="F414" s="29">
        <v>0.83</v>
      </c>
      <c r="G414" s="29">
        <v>4.0599999999999996</v>
      </c>
      <c r="H414" s="29">
        <v>4.72</v>
      </c>
      <c r="I414" s="29">
        <v>58.66</v>
      </c>
      <c r="J414" s="25">
        <v>4.79</v>
      </c>
    </row>
    <row r="415" spans="1:10" ht="30.75" customHeight="1" x14ac:dyDescent="0.25">
      <c r="A415" s="307" t="s">
        <v>227</v>
      </c>
      <c r="B415" s="308"/>
      <c r="C415" s="309"/>
      <c r="D415" s="10">
        <v>250</v>
      </c>
      <c r="E415" s="10">
        <v>36.200499999999998</v>
      </c>
      <c r="F415" s="13">
        <v>5.9</v>
      </c>
      <c r="G415" s="13">
        <v>4.2</v>
      </c>
      <c r="H415" s="13">
        <v>43.83</v>
      </c>
      <c r="I415" s="11">
        <v>139</v>
      </c>
      <c r="J415" s="10">
        <v>11.5</v>
      </c>
    </row>
    <row r="416" spans="1:10" x14ac:dyDescent="0.25">
      <c r="A416" s="249" t="s">
        <v>228</v>
      </c>
      <c r="B416" s="250"/>
      <c r="C416" s="251"/>
      <c r="D416" s="24">
        <v>210</v>
      </c>
      <c r="E416" s="24" t="s">
        <v>189</v>
      </c>
      <c r="F416" s="13">
        <v>14.9</v>
      </c>
      <c r="G416" s="13">
        <v>21.2</v>
      </c>
      <c r="H416" s="13">
        <v>43.8</v>
      </c>
      <c r="I416" s="13">
        <v>424</v>
      </c>
      <c r="J416" s="25">
        <v>4.0999999999999996</v>
      </c>
    </row>
    <row r="417" spans="1:10" x14ac:dyDescent="0.25">
      <c r="A417" s="15" t="s">
        <v>247</v>
      </c>
      <c r="B417" s="15"/>
      <c r="C417" s="15"/>
      <c r="D417" s="24">
        <v>180</v>
      </c>
      <c r="E417" s="24" t="s">
        <v>234</v>
      </c>
      <c r="F417" s="25">
        <v>0.34</v>
      </c>
      <c r="G417" s="25">
        <v>7.0000000000000007E-2</v>
      </c>
      <c r="H417" s="25">
        <v>11.99</v>
      </c>
      <c r="I417" s="25">
        <v>86.66</v>
      </c>
      <c r="J417" s="25">
        <v>0.49</v>
      </c>
    </row>
    <row r="418" spans="1:10" x14ac:dyDescent="0.25">
      <c r="A418" s="136" t="s">
        <v>23</v>
      </c>
      <c r="B418" s="137"/>
      <c r="C418" s="138"/>
      <c r="D418" s="10">
        <v>45</v>
      </c>
      <c r="E418" s="10" t="s">
        <v>80</v>
      </c>
      <c r="F418" s="13">
        <v>2.75</v>
      </c>
      <c r="G418" s="13">
        <v>0.54</v>
      </c>
      <c r="H418" s="13">
        <v>17.96</v>
      </c>
      <c r="I418" s="13">
        <v>87.66</v>
      </c>
      <c r="J418" s="25">
        <v>0</v>
      </c>
    </row>
    <row r="419" spans="1:10" x14ac:dyDescent="0.25">
      <c r="A419" s="249" t="s">
        <v>13</v>
      </c>
      <c r="B419" s="250"/>
      <c r="C419" s="251"/>
      <c r="D419" s="10">
        <v>20</v>
      </c>
      <c r="E419" s="10" t="s">
        <v>79</v>
      </c>
      <c r="F419" s="13">
        <v>1.52</v>
      </c>
      <c r="G419" s="13">
        <f>0.16</f>
        <v>0.16</v>
      </c>
      <c r="H419" s="13">
        <v>9.84</v>
      </c>
      <c r="I419" s="13">
        <v>46.88</v>
      </c>
      <c r="J419" s="6">
        <v>0</v>
      </c>
    </row>
    <row r="420" spans="1:10" x14ac:dyDescent="0.25">
      <c r="A420" s="173" t="s">
        <v>12</v>
      </c>
      <c r="B420" s="174"/>
      <c r="C420" s="175"/>
      <c r="D420" s="24">
        <f>D419+D418+D417+D416+D415+D414</f>
        <v>765</v>
      </c>
      <c r="E420" s="24"/>
      <c r="F420" s="22">
        <f>SUM(F414:F419)</f>
        <v>26.240000000000002</v>
      </c>
      <c r="G420" s="22">
        <f t="shared" ref="G420:J420" si="43">SUM(G414:G419)</f>
        <v>30.23</v>
      </c>
      <c r="H420" s="22">
        <f t="shared" si="43"/>
        <v>132.13999999999999</v>
      </c>
      <c r="I420" s="22">
        <f t="shared" si="43"/>
        <v>842.8599999999999</v>
      </c>
      <c r="J420" s="22">
        <f t="shared" si="43"/>
        <v>20.88</v>
      </c>
    </row>
    <row r="421" spans="1:10" x14ac:dyDescent="0.25">
      <c r="A421" s="285" t="s">
        <v>37</v>
      </c>
      <c r="B421" s="286"/>
      <c r="C421" s="286"/>
      <c r="D421" s="286"/>
      <c r="E421" s="286"/>
      <c r="F421" s="286"/>
      <c r="G421" s="286"/>
      <c r="H421" s="286"/>
      <c r="I421" s="286"/>
      <c r="J421" s="287"/>
    </row>
    <row r="422" spans="1:10" ht="24" customHeight="1" x14ac:dyDescent="0.25">
      <c r="A422" s="154" t="s">
        <v>130</v>
      </c>
      <c r="B422" s="155"/>
      <c r="C422" s="156"/>
      <c r="D422" s="59">
        <v>61.6</v>
      </c>
      <c r="E422" s="24">
        <v>413.2004</v>
      </c>
      <c r="F422" s="25">
        <v>6.8</v>
      </c>
      <c r="G422" s="25">
        <v>14.7</v>
      </c>
      <c r="H422" s="25">
        <v>0.2</v>
      </c>
      <c r="I422" s="29">
        <v>161</v>
      </c>
      <c r="J422" s="25">
        <v>0</v>
      </c>
    </row>
    <row r="423" spans="1:10" ht="16.5" customHeight="1" x14ac:dyDescent="0.25">
      <c r="A423" s="266" t="s">
        <v>19</v>
      </c>
      <c r="B423" s="266"/>
      <c r="C423" s="266"/>
      <c r="D423" s="139">
        <v>170</v>
      </c>
      <c r="E423" s="10">
        <v>200.20050000000001</v>
      </c>
      <c r="F423" s="11">
        <v>3.06</v>
      </c>
      <c r="G423" s="11">
        <v>3.45</v>
      </c>
      <c r="H423" s="11">
        <v>10.98</v>
      </c>
      <c r="I423" s="11">
        <v>88.33</v>
      </c>
      <c r="J423" s="14">
        <v>10.84</v>
      </c>
    </row>
    <row r="424" spans="1:10" x14ac:dyDescent="0.25">
      <c r="A424" s="277" t="s">
        <v>116</v>
      </c>
      <c r="B424" s="278"/>
      <c r="C424" s="279"/>
      <c r="D424" s="33">
        <v>100</v>
      </c>
      <c r="E424" s="34">
        <v>778.20039999999995</v>
      </c>
      <c r="F424" s="25">
        <v>6.97</v>
      </c>
      <c r="G424" s="25">
        <v>5.82</v>
      </c>
      <c r="H424" s="25">
        <v>55.25</v>
      </c>
      <c r="I424" s="29">
        <v>301.27999999999997</v>
      </c>
      <c r="J424" s="25">
        <v>0.17</v>
      </c>
    </row>
    <row r="425" spans="1:10" ht="15" customHeight="1" x14ac:dyDescent="0.25">
      <c r="A425" s="240" t="s">
        <v>13</v>
      </c>
      <c r="B425" s="241"/>
      <c r="C425" s="242"/>
      <c r="D425" s="32">
        <v>30</v>
      </c>
      <c r="E425" s="24" t="s">
        <v>81</v>
      </c>
      <c r="F425" s="25">
        <v>2.2799999999999998</v>
      </c>
      <c r="G425" s="25">
        <v>0.24</v>
      </c>
      <c r="H425" s="25">
        <v>14.76</v>
      </c>
      <c r="I425" s="25">
        <v>70.319999999999993</v>
      </c>
      <c r="J425" s="25">
        <v>0</v>
      </c>
    </row>
    <row r="426" spans="1:10" x14ac:dyDescent="0.25">
      <c r="A426" s="249" t="s">
        <v>285</v>
      </c>
      <c r="B426" s="250"/>
      <c r="C426" s="251"/>
      <c r="D426" s="10" t="s">
        <v>348</v>
      </c>
      <c r="E426" s="10">
        <v>251</v>
      </c>
      <c r="F426" s="13">
        <f>5.22</f>
        <v>5.22</v>
      </c>
      <c r="G426" s="13">
        <v>5.76</v>
      </c>
      <c r="H426" s="13">
        <f>7.2+3.99</f>
        <v>11.190000000000001</v>
      </c>
      <c r="I426" s="13">
        <f>101.52+15.97</f>
        <v>117.49</v>
      </c>
      <c r="J426" s="25">
        <v>1.26</v>
      </c>
    </row>
    <row r="427" spans="1:10" x14ac:dyDescent="0.25">
      <c r="A427" s="237" t="s">
        <v>12</v>
      </c>
      <c r="B427" s="238"/>
      <c r="C427" s="239"/>
      <c r="D427" s="176">
        <f>185+D425+D424+D423+D422</f>
        <v>546.6</v>
      </c>
      <c r="E427" s="176"/>
      <c r="F427" s="28">
        <f>SUM(F422:F426)</f>
        <v>24.33</v>
      </c>
      <c r="G427" s="28">
        <f t="shared" ref="G427:J427" si="44">SUM(G422:G426)</f>
        <v>29.97</v>
      </c>
      <c r="H427" s="28">
        <f t="shared" si="44"/>
        <v>92.38000000000001</v>
      </c>
      <c r="I427" s="28">
        <f t="shared" si="44"/>
        <v>738.41999999999985</v>
      </c>
      <c r="J427" s="28">
        <f t="shared" si="44"/>
        <v>12.27</v>
      </c>
    </row>
    <row r="428" spans="1:10" ht="32.25" customHeight="1" thickBot="1" x14ac:dyDescent="0.3">
      <c r="A428" s="42" t="s">
        <v>14</v>
      </c>
      <c r="B428" s="43"/>
      <c r="C428" s="43"/>
      <c r="D428" s="44"/>
      <c r="E428" s="45"/>
      <c r="F428" s="46">
        <f>F427+F420+F412+F409</f>
        <v>63.58</v>
      </c>
      <c r="G428" s="46">
        <f>G427+G420+G412+G409</f>
        <v>75.23</v>
      </c>
      <c r="H428" s="46">
        <f>H427+H420+H412+H409</f>
        <v>295.33</v>
      </c>
      <c r="I428" s="46">
        <f>I427+I420+I412+I409</f>
        <v>2054.8399999999997</v>
      </c>
      <c r="J428" s="46">
        <f>J427+J420+J412+J409</f>
        <v>47.79</v>
      </c>
    </row>
    <row r="429" spans="1:10" ht="42.75" x14ac:dyDescent="0.25">
      <c r="A429" s="269" t="s">
        <v>0</v>
      </c>
      <c r="B429" s="269"/>
      <c r="C429" s="269"/>
      <c r="D429" s="6" t="s">
        <v>1</v>
      </c>
      <c r="E429" s="6" t="s">
        <v>2</v>
      </c>
      <c r="F429" s="133" t="s">
        <v>3</v>
      </c>
      <c r="G429" s="133" t="s">
        <v>4</v>
      </c>
      <c r="H429" s="133" t="s">
        <v>28</v>
      </c>
      <c r="I429" s="134" t="s">
        <v>75</v>
      </c>
      <c r="J429" s="6" t="s">
        <v>76</v>
      </c>
    </row>
    <row r="430" spans="1:10" x14ac:dyDescent="0.25">
      <c r="A430" s="269" t="s">
        <v>222</v>
      </c>
      <c r="B430" s="269"/>
      <c r="C430" s="269"/>
      <c r="D430" s="269"/>
      <c r="E430" s="269"/>
      <c r="F430" s="269"/>
      <c r="G430" s="269"/>
      <c r="H430" s="269"/>
      <c r="I430" s="269"/>
      <c r="J430" s="269"/>
    </row>
    <row r="431" spans="1:10" x14ac:dyDescent="0.25">
      <c r="A431" s="269" t="s">
        <v>6</v>
      </c>
      <c r="B431" s="269"/>
      <c r="C431" s="269"/>
      <c r="D431" s="269"/>
      <c r="E431" s="269"/>
      <c r="F431" s="269"/>
      <c r="G431" s="269"/>
      <c r="H431" s="269"/>
      <c r="I431" s="269"/>
      <c r="J431" s="269"/>
    </row>
    <row r="432" spans="1:10" x14ac:dyDescent="0.25">
      <c r="A432" s="269" t="s">
        <v>9</v>
      </c>
      <c r="B432" s="269"/>
      <c r="C432" s="269"/>
      <c r="D432" s="269"/>
      <c r="E432" s="269"/>
      <c r="F432" s="269"/>
      <c r="G432" s="269"/>
      <c r="H432" s="269"/>
      <c r="I432" s="269"/>
      <c r="J432" s="6"/>
    </row>
    <row r="433" spans="1:10" ht="29.25" customHeight="1" x14ac:dyDescent="0.25">
      <c r="A433" s="298" t="s">
        <v>314</v>
      </c>
      <c r="B433" s="299"/>
      <c r="C433" s="300"/>
      <c r="D433" s="135" t="s">
        <v>202</v>
      </c>
      <c r="E433" s="10" t="s">
        <v>250</v>
      </c>
      <c r="F433" s="13">
        <v>4.68</v>
      </c>
      <c r="G433" s="13">
        <v>7.15</v>
      </c>
      <c r="H433" s="13">
        <v>12.7</v>
      </c>
      <c r="I433" s="13">
        <v>134.97999999999999</v>
      </c>
      <c r="J433" s="14">
        <v>7.0000000000000007E-2</v>
      </c>
    </row>
    <row r="434" spans="1:10" ht="14.45" customHeight="1" x14ac:dyDescent="0.25">
      <c r="A434" s="266" t="s">
        <v>27</v>
      </c>
      <c r="B434" s="266"/>
      <c r="C434" s="266"/>
      <c r="D434" s="32">
        <v>200</v>
      </c>
      <c r="E434" s="24">
        <v>44.200499999999998</v>
      </c>
      <c r="F434" s="29">
        <v>5.8</v>
      </c>
      <c r="G434" s="29">
        <v>5.2</v>
      </c>
      <c r="H434" s="29">
        <v>20</v>
      </c>
      <c r="I434" s="29">
        <v>151</v>
      </c>
      <c r="J434" s="25">
        <v>1.8</v>
      </c>
    </row>
    <row r="435" spans="1:10" ht="14.45" customHeight="1" x14ac:dyDescent="0.25">
      <c r="A435" s="252" t="s">
        <v>73</v>
      </c>
      <c r="B435" s="252"/>
      <c r="C435" s="252"/>
      <c r="D435" s="12">
        <v>180</v>
      </c>
      <c r="E435" s="10" t="s">
        <v>199</v>
      </c>
      <c r="F435" s="25">
        <v>0</v>
      </c>
      <c r="G435" s="25">
        <v>0</v>
      </c>
      <c r="H435" s="25">
        <v>10</v>
      </c>
      <c r="I435" s="25">
        <v>40</v>
      </c>
      <c r="J435" s="25">
        <v>0</v>
      </c>
    </row>
    <row r="436" spans="1:10" x14ac:dyDescent="0.25">
      <c r="A436" s="243" t="s">
        <v>12</v>
      </c>
      <c r="B436" s="244"/>
      <c r="C436" s="245"/>
      <c r="D436" s="10">
        <f>D434+D435+25+10.5+5</f>
        <v>420.5</v>
      </c>
      <c r="E436" s="10"/>
      <c r="F436" s="133">
        <f>SUM(F434:F435)</f>
        <v>5.8</v>
      </c>
      <c r="G436" s="133">
        <f>SUM(G434:G435)</f>
        <v>5.2</v>
      </c>
      <c r="H436" s="133">
        <f>SUM(H434:H435)</f>
        <v>30</v>
      </c>
      <c r="I436" s="133">
        <f>SUM(I434:I435)</f>
        <v>191</v>
      </c>
      <c r="J436" s="133">
        <f>SUM(J434:J435)</f>
        <v>1.8</v>
      </c>
    </row>
    <row r="437" spans="1:10" x14ac:dyDescent="0.25">
      <c r="A437" s="269" t="s">
        <v>8</v>
      </c>
      <c r="B437" s="269"/>
      <c r="C437" s="269"/>
      <c r="D437" s="269"/>
      <c r="E437" s="269"/>
      <c r="F437" s="269"/>
      <c r="G437" s="269"/>
      <c r="H437" s="269"/>
      <c r="I437" s="269"/>
      <c r="J437" s="6"/>
    </row>
    <row r="438" spans="1:10" x14ac:dyDescent="0.25">
      <c r="A438" s="249" t="s">
        <v>273</v>
      </c>
      <c r="B438" s="250"/>
      <c r="C438" s="251"/>
      <c r="D438" s="24">
        <v>100</v>
      </c>
      <c r="E438" s="24"/>
      <c r="F438" s="25">
        <v>0.4</v>
      </c>
      <c r="G438" s="25">
        <v>0.4</v>
      </c>
      <c r="H438" s="25">
        <v>9.8000000000000007</v>
      </c>
      <c r="I438" s="25">
        <v>44.4</v>
      </c>
      <c r="J438" s="25">
        <v>10</v>
      </c>
    </row>
    <row r="439" spans="1:10" x14ac:dyDescent="0.25">
      <c r="A439" s="243" t="s">
        <v>12</v>
      </c>
      <c r="B439" s="244"/>
      <c r="C439" s="245"/>
      <c r="D439" s="10">
        <f>SUM(D438:D438)</f>
        <v>100</v>
      </c>
      <c r="E439" s="10"/>
      <c r="F439" s="133">
        <f>SUM(F438:F438)</f>
        <v>0.4</v>
      </c>
      <c r="G439" s="133">
        <f>SUM(G438:G438)</f>
        <v>0.4</v>
      </c>
      <c r="H439" s="133">
        <f>SUM(H438:H438)</f>
        <v>9.8000000000000007</v>
      </c>
      <c r="I439" s="133">
        <f>SUM(I438:I438)</f>
        <v>44.4</v>
      </c>
      <c r="J439" s="133">
        <f>SUM(J438:J438)</f>
        <v>10</v>
      </c>
    </row>
    <row r="440" spans="1:10" x14ac:dyDescent="0.25">
      <c r="A440" s="269" t="s">
        <v>11</v>
      </c>
      <c r="B440" s="269"/>
      <c r="C440" s="269"/>
      <c r="D440" s="269"/>
      <c r="E440" s="269"/>
      <c r="F440" s="269"/>
      <c r="G440" s="269"/>
      <c r="H440" s="269"/>
      <c r="I440" s="269"/>
      <c r="J440" s="6"/>
    </row>
    <row r="441" spans="1:10" ht="26.25" customHeight="1" x14ac:dyDescent="0.25">
      <c r="A441" s="298" t="s">
        <v>243</v>
      </c>
      <c r="B441" s="299"/>
      <c r="C441" s="300"/>
      <c r="D441" s="24">
        <v>60</v>
      </c>
      <c r="E441" s="24">
        <v>14.2005</v>
      </c>
      <c r="F441" s="24">
        <v>0.6</v>
      </c>
      <c r="G441" s="24">
        <v>6</v>
      </c>
      <c r="H441" s="24">
        <v>2.5</v>
      </c>
      <c r="I441" s="24">
        <v>66.7</v>
      </c>
      <c r="J441" s="10">
        <v>17</v>
      </c>
    </row>
    <row r="442" spans="1:10" ht="14.45" customHeight="1" x14ac:dyDescent="0.25">
      <c r="A442" s="289" t="s">
        <v>251</v>
      </c>
      <c r="B442" s="289"/>
      <c r="C442" s="289"/>
      <c r="D442" s="8">
        <v>60</v>
      </c>
      <c r="E442" s="8" t="s">
        <v>166</v>
      </c>
      <c r="F442" s="9">
        <v>1</v>
      </c>
      <c r="G442" s="9">
        <v>0.1</v>
      </c>
      <c r="H442" s="9">
        <v>5.9</v>
      </c>
      <c r="I442" s="9">
        <v>28</v>
      </c>
      <c r="J442" s="14">
        <v>6.7</v>
      </c>
    </row>
    <row r="443" spans="1:10" ht="25.15" customHeight="1" x14ac:dyDescent="0.25">
      <c r="A443" s="298" t="s">
        <v>368</v>
      </c>
      <c r="B443" s="299"/>
      <c r="C443" s="300"/>
      <c r="D443" s="12" t="s">
        <v>213</v>
      </c>
      <c r="E443" s="10">
        <v>56.200499999999998</v>
      </c>
      <c r="F443" s="13">
        <v>6.5</v>
      </c>
      <c r="G443" s="13">
        <v>12.6</v>
      </c>
      <c r="H443" s="13">
        <v>10.8</v>
      </c>
      <c r="I443" s="13">
        <v>182</v>
      </c>
      <c r="J443" s="25">
        <v>22.7</v>
      </c>
    </row>
    <row r="444" spans="1:10" x14ac:dyDescent="0.25">
      <c r="A444" s="249" t="s">
        <v>308</v>
      </c>
      <c r="B444" s="250"/>
      <c r="C444" s="251"/>
      <c r="D444" s="48">
        <v>185</v>
      </c>
      <c r="E444" s="24">
        <v>311.16000000000003</v>
      </c>
      <c r="F444" s="13">
        <v>24.2</v>
      </c>
      <c r="G444" s="13">
        <v>13.26</v>
      </c>
      <c r="H444" s="13">
        <v>26.93</v>
      </c>
      <c r="I444" s="13">
        <v>323.68</v>
      </c>
      <c r="J444" s="25">
        <v>41.79</v>
      </c>
    </row>
    <row r="445" spans="1:10" x14ac:dyDescent="0.25">
      <c r="A445" s="250" t="s">
        <v>208</v>
      </c>
      <c r="B445" s="250"/>
      <c r="C445" s="251"/>
      <c r="D445" s="10">
        <v>180</v>
      </c>
      <c r="E445" s="24" t="s">
        <v>255</v>
      </c>
      <c r="F445" s="13">
        <v>0.14000000000000001</v>
      </c>
      <c r="G445" s="13">
        <v>0.14000000000000001</v>
      </c>
      <c r="H445" s="13">
        <v>15.51</v>
      </c>
      <c r="I445" s="13">
        <v>63.88</v>
      </c>
      <c r="J445" s="6">
        <v>3.6</v>
      </c>
    </row>
    <row r="446" spans="1:10" x14ac:dyDescent="0.25">
      <c r="A446" s="136" t="s">
        <v>23</v>
      </c>
      <c r="B446" s="137"/>
      <c r="C446" s="138"/>
      <c r="D446" s="10">
        <v>45</v>
      </c>
      <c r="E446" s="10" t="s">
        <v>80</v>
      </c>
      <c r="F446" s="13">
        <v>2.75</v>
      </c>
      <c r="G446" s="13">
        <v>0.54</v>
      </c>
      <c r="H446" s="13">
        <v>17.96</v>
      </c>
      <c r="I446" s="13">
        <v>87.66</v>
      </c>
      <c r="J446" s="25">
        <v>0</v>
      </c>
    </row>
    <row r="447" spans="1:10" x14ac:dyDescent="0.25">
      <c r="A447" s="249" t="s">
        <v>13</v>
      </c>
      <c r="B447" s="250"/>
      <c r="C447" s="251"/>
      <c r="D447" s="10">
        <v>20</v>
      </c>
      <c r="E447" s="10" t="s">
        <v>79</v>
      </c>
      <c r="F447" s="13">
        <v>1.52</v>
      </c>
      <c r="G447" s="13">
        <f>0.16</f>
        <v>0.16</v>
      </c>
      <c r="H447" s="13">
        <v>9.84</v>
      </c>
      <c r="I447" s="13">
        <v>46.88</v>
      </c>
      <c r="J447" s="6">
        <v>0</v>
      </c>
    </row>
    <row r="448" spans="1:10" x14ac:dyDescent="0.25">
      <c r="A448" s="178" t="s">
        <v>12</v>
      </c>
      <c r="B448" s="7"/>
      <c r="C448" s="180"/>
      <c r="D448" s="6">
        <f>D447+D446+D445+D442+250+29+15+185</f>
        <v>784</v>
      </c>
      <c r="E448" s="10"/>
      <c r="F448" s="133">
        <f>SUM(F442:F447)</f>
        <v>36.110000000000007</v>
      </c>
      <c r="G448" s="133">
        <f>SUM(G442:G447)</f>
        <v>26.8</v>
      </c>
      <c r="H448" s="133">
        <f>SUM(H442:H447)</f>
        <v>86.94</v>
      </c>
      <c r="I448" s="133">
        <f>SUM(I442:I447)</f>
        <v>732.1</v>
      </c>
      <c r="J448" s="22">
        <f>SUM(J442:J447)</f>
        <v>74.789999999999992</v>
      </c>
    </row>
    <row r="449" spans="1:10" x14ac:dyDescent="0.25">
      <c r="A449" s="269" t="s">
        <v>37</v>
      </c>
      <c r="B449" s="269"/>
      <c r="C449" s="269"/>
      <c r="D449" s="269"/>
      <c r="E449" s="269"/>
      <c r="F449" s="269"/>
      <c r="G449" s="269"/>
      <c r="H449" s="269"/>
      <c r="I449" s="269"/>
      <c r="J449" s="6"/>
    </row>
    <row r="450" spans="1:10" x14ac:dyDescent="0.25">
      <c r="A450" s="298" t="s">
        <v>256</v>
      </c>
      <c r="B450" s="299"/>
      <c r="C450" s="300"/>
      <c r="D450" s="10" t="s">
        <v>48</v>
      </c>
      <c r="E450" s="10" t="s">
        <v>240</v>
      </c>
      <c r="F450" s="13">
        <v>10.199999999999999</v>
      </c>
      <c r="G450" s="13">
        <v>5.5</v>
      </c>
      <c r="H450" s="13">
        <v>9.4</v>
      </c>
      <c r="I450" s="11">
        <v>130</v>
      </c>
      <c r="J450" s="10">
        <v>1.5</v>
      </c>
    </row>
    <row r="451" spans="1:10" x14ac:dyDescent="0.25">
      <c r="A451" s="311" t="s">
        <v>378</v>
      </c>
      <c r="B451" s="312"/>
      <c r="C451" s="313"/>
      <c r="D451" s="10">
        <v>150</v>
      </c>
      <c r="E451" s="10" t="s">
        <v>338</v>
      </c>
      <c r="F451" s="13">
        <f>1.45+1.57</f>
        <v>3.02</v>
      </c>
      <c r="G451" s="13">
        <f>3.72+2.78</f>
        <v>6.5</v>
      </c>
      <c r="H451" s="13">
        <f>10.84+12.59</f>
        <v>23.43</v>
      </c>
      <c r="I451" s="13">
        <f>82.6+81.61</f>
        <v>164.20999999999998</v>
      </c>
      <c r="J451" s="25">
        <f>9.4+15.4</f>
        <v>24.8</v>
      </c>
    </row>
    <row r="452" spans="1:10" ht="15" customHeight="1" x14ac:dyDescent="0.25">
      <c r="A452" s="249" t="s">
        <v>22</v>
      </c>
      <c r="B452" s="250"/>
      <c r="C452" s="251"/>
      <c r="D452" s="10">
        <v>180</v>
      </c>
      <c r="E452" s="10" t="s">
        <v>246</v>
      </c>
      <c r="F452" s="11">
        <v>1.22</v>
      </c>
      <c r="G452" s="11">
        <v>1.05</v>
      </c>
      <c r="H452" s="11">
        <v>12.01</v>
      </c>
      <c r="I452" s="11">
        <v>62.65</v>
      </c>
      <c r="J452" s="10">
        <v>0.55000000000000004</v>
      </c>
    </row>
    <row r="453" spans="1:10" x14ac:dyDescent="0.25">
      <c r="A453" s="249" t="s">
        <v>13</v>
      </c>
      <c r="B453" s="250"/>
      <c r="C453" s="251"/>
      <c r="D453" s="10">
        <v>15</v>
      </c>
      <c r="E453" s="10" t="s">
        <v>81</v>
      </c>
      <c r="F453" s="13">
        <v>1.1399999999999999</v>
      </c>
      <c r="G453" s="13">
        <v>0.12</v>
      </c>
      <c r="H453" s="13">
        <v>7.38</v>
      </c>
      <c r="I453" s="13">
        <v>35.159999999999997</v>
      </c>
      <c r="J453" s="25">
        <v>0</v>
      </c>
    </row>
    <row r="454" spans="1:10" x14ac:dyDescent="0.25">
      <c r="A454" s="243" t="s">
        <v>12</v>
      </c>
      <c r="B454" s="244"/>
      <c r="C454" s="245"/>
      <c r="D454" s="6">
        <f>70+40+D453+D452+D451</f>
        <v>455</v>
      </c>
      <c r="E454" s="6"/>
      <c r="F454" s="133">
        <f>SUM(F450:F453)</f>
        <v>15.58</v>
      </c>
      <c r="G454" s="133">
        <f>SUM(G450:G453)</f>
        <v>13.17</v>
      </c>
      <c r="H454" s="133">
        <f>SUM(H450:H453)</f>
        <v>52.22</v>
      </c>
      <c r="I454" s="133">
        <f>SUM(I450:I453)</f>
        <v>392.02</v>
      </c>
      <c r="J454" s="22">
        <f>SUM(J450:J453)</f>
        <v>26.85</v>
      </c>
    </row>
    <row r="455" spans="1:10" ht="13.5" customHeight="1" x14ac:dyDescent="0.25">
      <c r="A455" s="243" t="s">
        <v>14</v>
      </c>
      <c r="B455" s="244"/>
      <c r="C455" s="245"/>
      <c r="D455" s="6"/>
      <c r="E455" s="6"/>
      <c r="F455" s="133">
        <f>F454+F448+F439+F436</f>
        <v>57.89</v>
      </c>
      <c r="G455" s="133">
        <f>G454+G448+G439+G436</f>
        <v>45.57</v>
      </c>
      <c r="H455" s="133">
        <f>H454+H448+H439+H436</f>
        <v>178.96</v>
      </c>
      <c r="I455" s="133">
        <f>I454+I448+I439+I436</f>
        <v>1359.52</v>
      </c>
      <c r="J455" s="133">
        <f>J454+J448+J439+J436</f>
        <v>113.43999999999998</v>
      </c>
    </row>
    <row r="457" spans="1:10" ht="42.75" x14ac:dyDescent="0.25">
      <c r="A457" s="269" t="s">
        <v>0</v>
      </c>
      <c r="B457" s="269"/>
      <c r="C457" s="269"/>
      <c r="D457" s="6" t="s">
        <v>1</v>
      </c>
      <c r="E457" s="6" t="s">
        <v>2</v>
      </c>
      <c r="F457" s="133" t="s">
        <v>3</v>
      </c>
      <c r="G457" s="133" t="s">
        <v>4</v>
      </c>
      <c r="H457" s="133" t="s">
        <v>28</v>
      </c>
      <c r="I457" s="134" t="s">
        <v>75</v>
      </c>
      <c r="J457" s="140" t="s">
        <v>83</v>
      </c>
    </row>
    <row r="458" spans="1:10" x14ac:dyDescent="0.25">
      <c r="A458" s="269" t="s">
        <v>222</v>
      </c>
      <c r="B458" s="269"/>
      <c r="C458" s="269"/>
      <c r="D458" s="269"/>
      <c r="E458" s="269"/>
      <c r="F458" s="269"/>
      <c r="G458" s="269"/>
      <c r="H458" s="269"/>
      <c r="I458" s="269"/>
      <c r="J458" s="269"/>
    </row>
    <row r="459" spans="1:10" x14ac:dyDescent="0.25">
      <c r="A459" s="269" t="s">
        <v>15</v>
      </c>
      <c r="B459" s="269"/>
      <c r="C459" s="269"/>
      <c r="D459" s="269"/>
      <c r="E459" s="269"/>
      <c r="F459" s="269"/>
      <c r="G459" s="269"/>
      <c r="H459" s="269"/>
      <c r="I459" s="269"/>
      <c r="J459" s="269"/>
    </row>
    <row r="460" spans="1:10" x14ac:dyDescent="0.25">
      <c r="A460" s="269" t="s">
        <v>9</v>
      </c>
      <c r="B460" s="269"/>
      <c r="C460" s="269"/>
      <c r="D460" s="269"/>
      <c r="E460" s="269"/>
      <c r="F460" s="269"/>
      <c r="G460" s="269"/>
      <c r="H460" s="269"/>
      <c r="I460" s="269"/>
      <c r="J460" s="269"/>
    </row>
    <row r="461" spans="1:10" ht="14.45" customHeight="1" x14ac:dyDescent="0.25">
      <c r="A461" s="294" t="s">
        <v>282</v>
      </c>
      <c r="B461" s="294"/>
      <c r="C461" s="294"/>
      <c r="D461" s="135" t="s">
        <v>103</v>
      </c>
      <c r="E461" s="10" t="s">
        <v>143</v>
      </c>
      <c r="F461" s="13">
        <v>1.92</v>
      </c>
      <c r="G461" s="13">
        <v>4.3600000000000003</v>
      </c>
      <c r="H461" s="13">
        <v>12.7</v>
      </c>
      <c r="I461" s="13">
        <v>98.8</v>
      </c>
      <c r="J461" s="25">
        <v>0</v>
      </c>
    </row>
    <row r="462" spans="1:10" ht="31.5" customHeight="1" x14ac:dyDescent="0.25">
      <c r="A462" s="280" t="s">
        <v>207</v>
      </c>
      <c r="B462" s="280"/>
      <c r="C462" s="280"/>
      <c r="D462" s="10" t="s">
        <v>203</v>
      </c>
      <c r="E462" s="10" t="s">
        <v>347</v>
      </c>
      <c r="F462" s="13">
        <v>5.68</v>
      </c>
      <c r="G462" s="13">
        <v>5.8</v>
      </c>
      <c r="H462" s="13">
        <v>27.78</v>
      </c>
      <c r="I462" s="13">
        <v>186.79</v>
      </c>
      <c r="J462" s="10">
        <v>1.38</v>
      </c>
    </row>
    <row r="463" spans="1:10" ht="14.45" customHeight="1" x14ac:dyDescent="0.25">
      <c r="A463" s="249" t="s">
        <v>151</v>
      </c>
      <c r="B463" s="250"/>
      <c r="C463" s="251"/>
      <c r="D463" s="24">
        <v>180</v>
      </c>
      <c r="E463" s="24" t="s">
        <v>248</v>
      </c>
      <c r="F463" s="13">
        <v>5.22</v>
      </c>
      <c r="G463" s="13">
        <v>4.5</v>
      </c>
      <c r="H463" s="13">
        <v>21.14</v>
      </c>
      <c r="I463" s="13">
        <v>147.19</v>
      </c>
      <c r="J463" s="14">
        <v>2.34</v>
      </c>
    </row>
    <row r="464" spans="1:10" x14ac:dyDescent="0.25">
      <c r="A464" s="243" t="s">
        <v>12</v>
      </c>
      <c r="B464" s="244"/>
      <c r="C464" s="245"/>
      <c r="D464" s="6">
        <f>D463+204+30</f>
        <v>414</v>
      </c>
      <c r="E464" s="10"/>
      <c r="F464" s="133">
        <f>SUM(F461:F463)</f>
        <v>12.82</v>
      </c>
      <c r="G464" s="133">
        <f>SUM(G461:G463)</f>
        <v>14.66</v>
      </c>
      <c r="H464" s="133">
        <f>SUM(H461:H463)</f>
        <v>61.620000000000005</v>
      </c>
      <c r="I464" s="133">
        <f>SUM(I461:I463)</f>
        <v>432.78</v>
      </c>
      <c r="J464" s="133">
        <f>SUM(J461:J463)</f>
        <v>3.7199999999999998</v>
      </c>
    </row>
    <row r="465" spans="1:10" x14ac:dyDescent="0.25">
      <c r="A465" s="269" t="s">
        <v>8</v>
      </c>
      <c r="B465" s="269"/>
      <c r="C465" s="269"/>
      <c r="D465" s="269"/>
      <c r="E465" s="269"/>
      <c r="F465" s="269"/>
      <c r="G465" s="269"/>
      <c r="H465" s="269"/>
      <c r="I465" s="269"/>
      <c r="J465" s="6"/>
    </row>
    <row r="466" spans="1:10" x14ac:dyDescent="0.25">
      <c r="A466" s="249" t="s">
        <v>38</v>
      </c>
      <c r="B466" s="250"/>
      <c r="C466" s="251"/>
      <c r="D466" s="33">
        <v>30</v>
      </c>
      <c r="E466" s="33" t="s">
        <v>77</v>
      </c>
      <c r="F466" s="33">
        <v>2.2999999999999998</v>
      </c>
      <c r="G466" s="33">
        <v>3.3</v>
      </c>
      <c r="H466" s="33">
        <v>21.29</v>
      </c>
      <c r="I466" s="33">
        <v>121.43</v>
      </c>
      <c r="J466" s="25">
        <v>0</v>
      </c>
    </row>
    <row r="467" spans="1:10" x14ac:dyDescent="0.25">
      <c r="A467" s="249" t="s">
        <v>24</v>
      </c>
      <c r="B467" s="250"/>
      <c r="C467" s="251"/>
      <c r="D467" s="24">
        <v>180</v>
      </c>
      <c r="E467" s="24" t="s">
        <v>245</v>
      </c>
      <c r="F467" s="25">
        <v>0.9</v>
      </c>
      <c r="G467" s="25">
        <v>0.18</v>
      </c>
      <c r="H467" s="25">
        <v>18.18</v>
      </c>
      <c r="I467" s="25">
        <v>77.94</v>
      </c>
      <c r="J467" s="25">
        <v>3.6</v>
      </c>
    </row>
    <row r="468" spans="1:10" x14ac:dyDescent="0.25">
      <c r="A468" s="243" t="s">
        <v>12</v>
      </c>
      <c r="B468" s="244"/>
      <c r="C468" s="245"/>
      <c r="D468" s="24">
        <f>SUM(D466:D467)</f>
        <v>210</v>
      </c>
      <c r="E468" s="24"/>
      <c r="F468" s="22">
        <f>SUM(F466:F467)</f>
        <v>3.1999999999999997</v>
      </c>
      <c r="G468" s="22">
        <f t="shared" ref="G468:J468" si="45">SUM(G466:G467)</f>
        <v>3.48</v>
      </c>
      <c r="H468" s="22">
        <f t="shared" si="45"/>
        <v>39.47</v>
      </c>
      <c r="I468" s="22">
        <f t="shared" si="45"/>
        <v>199.37</v>
      </c>
      <c r="J468" s="22">
        <f t="shared" si="45"/>
        <v>3.6</v>
      </c>
    </row>
    <row r="469" spans="1:10" x14ac:dyDescent="0.25">
      <c r="A469" s="269" t="s">
        <v>11</v>
      </c>
      <c r="B469" s="269"/>
      <c r="C469" s="269"/>
      <c r="D469" s="269"/>
      <c r="E469" s="269"/>
      <c r="F469" s="269"/>
      <c r="G469" s="269"/>
      <c r="H469" s="269"/>
      <c r="I469" s="269"/>
      <c r="J469" s="6"/>
    </row>
    <row r="470" spans="1:10" x14ac:dyDescent="0.25">
      <c r="A470" s="280" t="s">
        <v>171</v>
      </c>
      <c r="B470" s="280"/>
      <c r="C470" s="280"/>
      <c r="D470" s="24">
        <v>60</v>
      </c>
      <c r="E470" s="24">
        <v>78.200400000000002</v>
      </c>
      <c r="F470" s="25">
        <v>0.7</v>
      </c>
      <c r="G470" s="25">
        <v>2.1</v>
      </c>
      <c r="H470" s="25">
        <v>4.7</v>
      </c>
      <c r="I470" s="25">
        <v>40</v>
      </c>
      <c r="J470" s="25">
        <v>3.23</v>
      </c>
    </row>
    <row r="471" spans="1:10" ht="32.25" customHeight="1" x14ac:dyDescent="0.25">
      <c r="A471" s="280" t="s">
        <v>214</v>
      </c>
      <c r="B471" s="280"/>
      <c r="C471" s="280"/>
      <c r="D471" s="12" t="s">
        <v>309</v>
      </c>
      <c r="E471" s="10">
        <v>33.200499999999998</v>
      </c>
      <c r="F471" s="13">
        <f>2.81+0.86</f>
        <v>3.67</v>
      </c>
      <c r="G471" s="13">
        <f>5.6+0.8</f>
        <v>6.3999999999999995</v>
      </c>
      <c r="H471" s="13">
        <f>18.41+0.04</f>
        <v>18.45</v>
      </c>
      <c r="I471" s="13">
        <f>128.4+0.04</f>
        <v>128.44</v>
      </c>
      <c r="J471" s="10">
        <f>31.05+0.05</f>
        <v>31.1</v>
      </c>
    </row>
    <row r="472" spans="1:10" x14ac:dyDescent="0.25">
      <c r="A472" s="249" t="s">
        <v>229</v>
      </c>
      <c r="B472" s="250"/>
      <c r="C472" s="251"/>
      <c r="D472" s="10">
        <v>70</v>
      </c>
      <c r="E472" s="10">
        <v>95</v>
      </c>
      <c r="F472" s="13">
        <v>8.9</v>
      </c>
      <c r="G472" s="13">
        <v>10.3</v>
      </c>
      <c r="H472" s="13">
        <v>9.1999999999999993</v>
      </c>
      <c r="I472" s="13">
        <v>166</v>
      </c>
      <c r="J472" s="10">
        <v>5.2</v>
      </c>
    </row>
    <row r="473" spans="1:10" x14ac:dyDescent="0.25">
      <c r="A473" s="153" t="s">
        <v>67</v>
      </c>
      <c r="B473" s="153"/>
      <c r="C473" s="153"/>
      <c r="D473" s="33">
        <v>150</v>
      </c>
      <c r="E473" s="10">
        <v>541.20039999999995</v>
      </c>
      <c r="F473" s="29">
        <v>2.4500000000000002</v>
      </c>
      <c r="G473" s="29">
        <v>3.61</v>
      </c>
      <c r="H473" s="29">
        <v>14.55</v>
      </c>
      <c r="I473" s="29">
        <v>100.96</v>
      </c>
      <c r="J473" s="25">
        <v>41.67</v>
      </c>
    </row>
    <row r="474" spans="1:10" x14ac:dyDescent="0.25">
      <c r="A474" s="15" t="s">
        <v>247</v>
      </c>
      <c r="B474" s="15"/>
      <c r="C474" s="15"/>
      <c r="D474" s="24">
        <v>180</v>
      </c>
      <c r="E474" s="24" t="s">
        <v>234</v>
      </c>
      <c r="F474" s="25">
        <v>0.34</v>
      </c>
      <c r="G474" s="25">
        <v>7.0000000000000007E-2</v>
      </c>
      <c r="H474" s="25">
        <v>11.99</v>
      </c>
      <c r="I474" s="25">
        <v>86.66</v>
      </c>
      <c r="J474" s="25">
        <v>0.49</v>
      </c>
    </row>
    <row r="475" spans="1:10" x14ac:dyDescent="0.25">
      <c r="A475" s="136" t="s">
        <v>23</v>
      </c>
      <c r="B475" s="137"/>
      <c r="C475" s="138"/>
      <c r="D475" s="10">
        <v>45</v>
      </c>
      <c r="E475" s="10" t="s">
        <v>80</v>
      </c>
      <c r="F475" s="13">
        <v>2.75</v>
      </c>
      <c r="G475" s="13">
        <v>0.54</v>
      </c>
      <c r="H475" s="13">
        <v>17.96</v>
      </c>
      <c r="I475" s="13">
        <v>87.66</v>
      </c>
      <c r="J475" s="25">
        <v>0</v>
      </c>
    </row>
    <row r="476" spans="1:10" x14ac:dyDescent="0.25">
      <c r="A476" s="249" t="s">
        <v>13</v>
      </c>
      <c r="B476" s="250"/>
      <c r="C476" s="251"/>
      <c r="D476" s="10">
        <v>20</v>
      </c>
      <c r="E476" s="10" t="s">
        <v>79</v>
      </c>
      <c r="F476" s="13">
        <v>1.52</v>
      </c>
      <c r="G476" s="13">
        <f>0.16</f>
        <v>0.16</v>
      </c>
      <c r="H476" s="13">
        <v>9.84</v>
      </c>
      <c r="I476" s="13">
        <v>46.88</v>
      </c>
      <c r="J476" s="6">
        <v>0</v>
      </c>
    </row>
    <row r="477" spans="1:10" x14ac:dyDescent="0.25">
      <c r="A477" s="243" t="s">
        <v>12</v>
      </c>
      <c r="B477" s="244"/>
      <c r="C477" s="245"/>
      <c r="D477" s="6">
        <f>D470+250+5+15+D472+D473+D474+D475+D476</f>
        <v>795</v>
      </c>
      <c r="E477" s="10"/>
      <c r="F477" s="133">
        <f>SUM(F470:F476)</f>
        <v>20.329999999999998</v>
      </c>
      <c r="G477" s="133">
        <f t="shared" ref="G477:J477" si="46">SUM(G470:G476)</f>
        <v>23.18</v>
      </c>
      <c r="H477" s="133">
        <f t="shared" si="46"/>
        <v>86.69</v>
      </c>
      <c r="I477" s="133">
        <f t="shared" si="46"/>
        <v>656.59999999999991</v>
      </c>
      <c r="J477" s="133">
        <f t="shared" si="46"/>
        <v>81.69</v>
      </c>
    </row>
    <row r="478" spans="1:10" x14ac:dyDescent="0.25">
      <c r="A478" s="269" t="s">
        <v>37</v>
      </c>
      <c r="B478" s="269"/>
      <c r="C478" s="269"/>
      <c r="D478" s="269"/>
      <c r="E478" s="269"/>
      <c r="F478" s="269"/>
      <c r="G478" s="269"/>
      <c r="H478" s="269"/>
      <c r="I478" s="269"/>
      <c r="J478" s="10">
        <v>3.3</v>
      </c>
    </row>
    <row r="479" spans="1:10" x14ac:dyDescent="0.25">
      <c r="A479" s="249" t="s">
        <v>310</v>
      </c>
      <c r="B479" s="250"/>
      <c r="C479" s="251"/>
      <c r="D479" s="10">
        <v>180</v>
      </c>
      <c r="E479" s="10">
        <v>200.16</v>
      </c>
      <c r="F479" s="13">
        <v>24.62</v>
      </c>
      <c r="G479" s="13">
        <v>12.87</v>
      </c>
      <c r="H479" s="13">
        <v>40.619999999999997</v>
      </c>
      <c r="I479" s="13">
        <v>374.73</v>
      </c>
      <c r="J479" s="10">
        <v>5.35</v>
      </c>
    </row>
    <row r="480" spans="1:10" x14ac:dyDescent="0.25">
      <c r="A480" s="249" t="s">
        <v>13</v>
      </c>
      <c r="B480" s="250"/>
      <c r="C480" s="251"/>
      <c r="D480" s="10">
        <v>20</v>
      </c>
      <c r="E480" s="10" t="s">
        <v>79</v>
      </c>
      <c r="F480" s="13">
        <v>1.52</v>
      </c>
      <c r="G480" s="13">
        <f>0.16</f>
        <v>0.16</v>
      </c>
      <c r="H480" s="13">
        <v>9.84</v>
      </c>
      <c r="I480" s="13">
        <v>46.88</v>
      </c>
      <c r="J480" s="6">
        <v>0</v>
      </c>
    </row>
    <row r="481" spans="1:10" ht="15" customHeight="1" x14ac:dyDescent="0.25">
      <c r="A481" s="249" t="s">
        <v>273</v>
      </c>
      <c r="B481" s="250"/>
      <c r="C481" s="251"/>
      <c r="D481" s="10">
        <v>75</v>
      </c>
      <c r="E481" s="10"/>
      <c r="F481" s="13">
        <v>0.3</v>
      </c>
      <c r="G481" s="13">
        <v>0.3</v>
      </c>
      <c r="H481" s="13">
        <v>7.35</v>
      </c>
      <c r="I481" s="13">
        <v>33.299999999999997</v>
      </c>
      <c r="J481" s="14">
        <v>7.5</v>
      </c>
    </row>
    <row r="482" spans="1:10" x14ac:dyDescent="0.25">
      <c r="A482" s="249" t="s">
        <v>285</v>
      </c>
      <c r="B482" s="250"/>
      <c r="C482" s="251"/>
      <c r="D482" s="10" t="s">
        <v>348</v>
      </c>
      <c r="E482" s="10">
        <v>251</v>
      </c>
      <c r="F482" s="13">
        <f>5.22</f>
        <v>5.22</v>
      </c>
      <c r="G482" s="13">
        <v>5.76</v>
      </c>
      <c r="H482" s="13">
        <f>7.2+3.99</f>
        <v>11.190000000000001</v>
      </c>
      <c r="I482" s="13">
        <f>101.52+15.97</f>
        <v>117.49</v>
      </c>
      <c r="J482" s="25">
        <v>1.26</v>
      </c>
    </row>
    <row r="483" spans="1:10" x14ac:dyDescent="0.25">
      <c r="A483" s="243" t="s">
        <v>12</v>
      </c>
      <c r="B483" s="244"/>
      <c r="C483" s="245"/>
      <c r="D483" s="6">
        <f>185+D481+D480+D479</f>
        <v>460</v>
      </c>
      <c r="E483" s="6"/>
      <c r="F483" s="133">
        <f>SUM(F479:F482)</f>
        <v>31.66</v>
      </c>
      <c r="G483" s="133">
        <f t="shared" ref="G483:J483" si="47">SUM(G479:G482)</f>
        <v>19.09</v>
      </c>
      <c r="H483" s="133">
        <f t="shared" si="47"/>
        <v>69</v>
      </c>
      <c r="I483" s="133">
        <f t="shared" si="47"/>
        <v>572.4</v>
      </c>
      <c r="J483" s="133">
        <f t="shared" si="47"/>
        <v>14.11</v>
      </c>
    </row>
    <row r="484" spans="1:10" x14ac:dyDescent="0.25">
      <c r="A484" s="243" t="s">
        <v>14</v>
      </c>
      <c r="B484" s="244"/>
      <c r="C484" s="245"/>
      <c r="D484" s="6"/>
      <c r="E484" s="10"/>
      <c r="F484" s="22">
        <f>F483+F477+F468+F464</f>
        <v>68.009999999999991</v>
      </c>
      <c r="G484" s="22">
        <f t="shared" ref="G484:J484" si="48">G483+G477+G468+G464</f>
        <v>60.41</v>
      </c>
      <c r="H484" s="22">
        <f t="shared" si="48"/>
        <v>256.77999999999997</v>
      </c>
      <c r="I484" s="22">
        <f t="shared" si="48"/>
        <v>1861.1499999999999</v>
      </c>
      <c r="J484" s="22">
        <f t="shared" si="48"/>
        <v>103.11999999999999</v>
      </c>
    </row>
    <row r="486" spans="1:10" ht="8.25" customHeight="1" x14ac:dyDescent="0.25"/>
    <row r="487" spans="1:10" ht="42.75" x14ac:dyDescent="0.25">
      <c r="A487" s="269" t="s">
        <v>0</v>
      </c>
      <c r="B487" s="269"/>
      <c r="C487" s="269"/>
      <c r="D487" s="6" t="s">
        <v>1</v>
      </c>
      <c r="E487" s="6" t="s">
        <v>2</v>
      </c>
      <c r="F487" s="133" t="s">
        <v>3</v>
      </c>
      <c r="G487" s="133" t="s">
        <v>4</v>
      </c>
      <c r="H487" s="133" t="s">
        <v>28</v>
      </c>
      <c r="I487" s="134" t="s">
        <v>75</v>
      </c>
      <c r="J487" s="6" t="s">
        <v>76</v>
      </c>
    </row>
    <row r="488" spans="1:10" x14ac:dyDescent="0.25">
      <c r="A488" s="269" t="s">
        <v>222</v>
      </c>
      <c r="B488" s="269"/>
      <c r="C488" s="269"/>
      <c r="D488" s="269"/>
      <c r="E488" s="269"/>
      <c r="F488" s="269"/>
      <c r="G488" s="269"/>
      <c r="H488" s="269"/>
      <c r="I488" s="269"/>
      <c r="J488" s="269"/>
    </row>
    <row r="489" spans="1:10" x14ac:dyDescent="0.25">
      <c r="A489" s="269" t="s">
        <v>17</v>
      </c>
      <c r="B489" s="269"/>
      <c r="C489" s="269"/>
      <c r="D489" s="269"/>
      <c r="E489" s="269"/>
      <c r="F489" s="269"/>
      <c r="G489" s="269"/>
      <c r="H489" s="269"/>
      <c r="I489" s="269"/>
      <c r="J489" s="269"/>
    </row>
    <row r="490" spans="1:10" x14ac:dyDescent="0.25">
      <c r="A490" s="269" t="s">
        <v>9</v>
      </c>
      <c r="B490" s="269"/>
      <c r="C490" s="269"/>
      <c r="D490" s="269"/>
      <c r="E490" s="269"/>
      <c r="F490" s="269"/>
      <c r="G490" s="269"/>
      <c r="H490" s="269"/>
      <c r="I490" s="269"/>
      <c r="J490" s="269"/>
    </row>
    <row r="491" spans="1:10" ht="27" customHeight="1" x14ac:dyDescent="0.25">
      <c r="A491" s="294" t="s">
        <v>282</v>
      </c>
      <c r="B491" s="294"/>
      <c r="C491" s="294"/>
      <c r="D491" s="135" t="s">
        <v>103</v>
      </c>
      <c r="E491" s="10" t="s">
        <v>143</v>
      </c>
      <c r="F491" s="13">
        <v>1.92</v>
      </c>
      <c r="G491" s="13">
        <v>4.3600000000000003</v>
      </c>
      <c r="H491" s="13">
        <v>12.7</v>
      </c>
      <c r="I491" s="13">
        <v>98.8</v>
      </c>
      <c r="J491" s="25">
        <v>0</v>
      </c>
    </row>
    <row r="492" spans="1:10" ht="28.9" customHeight="1" x14ac:dyDescent="0.25">
      <c r="A492" s="270" t="s">
        <v>299</v>
      </c>
      <c r="B492" s="270"/>
      <c r="C492" s="270"/>
      <c r="D492" s="24">
        <v>200</v>
      </c>
      <c r="E492" s="24">
        <v>221</v>
      </c>
      <c r="F492" s="25">
        <v>10.199999999999999</v>
      </c>
      <c r="G492" s="25">
        <v>5.76</v>
      </c>
      <c r="H492" s="25">
        <v>51.82</v>
      </c>
      <c r="I492" s="25">
        <v>299.91000000000003</v>
      </c>
      <c r="J492" s="25">
        <v>0.06</v>
      </c>
    </row>
    <row r="493" spans="1:10" ht="14.45" customHeight="1" x14ac:dyDescent="0.25">
      <c r="A493" s="310" t="s">
        <v>153</v>
      </c>
      <c r="B493" s="310"/>
      <c r="C493" s="310"/>
      <c r="D493" s="65">
        <v>180</v>
      </c>
      <c r="E493" s="58" t="s">
        <v>154</v>
      </c>
      <c r="F493" s="13">
        <v>6.32</v>
      </c>
      <c r="G493" s="13">
        <v>5.29</v>
      </c>
      <c r="H493" s="13">
        <v>21.62</v>
      </c>
      <c r="I493" s="11">
        <v>160.57</v>
      </c>
      <c r="J493" s="58">
        <v>2.54</v>
      </c>
    </row>
    <row r="494" spans="1:10" x14ac:dyDescent="0.25">
      <c r="A494" s="243" t="s">
        <v>12</v>
      </c>
      <c r="B494" s="244"/>
      <c r="C494" s="245"/>
      <c r="D494" s="10">
        <f>D493+D492+25+5</f>
        <v>410</v>
      </c>
      <c r="E494" s="10"/>
      <c r="F494" s="133">
        <f>SUM(F491:F493)</f>
        <v>18.439999999999998</v>
      </c>
      <c r="G494" s="133">
        <f t="shared" ref="G494:J494" si="49">SUM(G491:G493)</f>
        <v>15.41</v>
      </c>
      <c r="H494" s="133">
        <f t="shared" si="49"/>
        <v>86.14</v>
      </c>
      <c r="I494" s="133">
        <f t="shared" si="49"/>
        <v>559.28</v>
      </c>
      <c r="J494" s="133">
        <f t="shared" si="49"/>
        <v>2.6</v>
      </c>
    </row>
    <row r="495" spans="1:10" x14ac:dyDescent="0.25">
      <c r="A495" s="269" t="s">
        <v>8</v>
      </c>
      <c r="B495" s="269"/>
      <c r="C495" s="269"/>
      <c r="D495" s="269"/>
      <c r="E495" s="269"/>
      <c r="F495" s="269"/>
      <c r="G495" s="269"/>
      <c r="H495" s="269"/>
      <c r="I495" s="269"/>
      <c r="J495" s="10"/>
    </row>
    <row r="496" spans="1:10" x14ac:dyDescent="0.25">
      <c r="A496" s="249" t="s">
        <v>273</v>
      </c>
      <c r="B496" s="250"/>
      <c r="C496" s="251"/>
      <c r="D496" s="33">
        <v>100</v>
      </c>
      <c r="E496" s="24" t="s">
        <v>77</v>
      </c>
      <c r="F496" s="25">
        <v>0.4</v>
      </c>
      <c r="G496" s="25">
        <v>0.4</v>
      </c>
      <c r="H496" s="25">
        <v>9.8000000000000007</v>
      </c>
      <c r="I496" s="25">
        <v>44.4</v>
      </c>
      <c r="J496" s="25">
        <v>10</v>
      </c>
    </row>
    <row r="497" spans="1:10" x14ac:dyDescent="0.25">
      <c r="A497" s="243" t="s">
        <v>12</v>
      </c>
      <c r="B497" s="244"/>
      <c r="C497" s="245"/>
      <c r="D497" s="10">
        <f>SUM(D496)</f>
        <v>100</v>
      </c>
      <c r="E497" s="10"/>
      <c r="F497" s="133">
        <f>SUM(F496:F496)</f>
        <v>0.4</v>
      </c>
      <c r="G497" s="133">
        <f>SUM(G496:G496)</f>
        <v>0.4</v>
      </c>
      <c r="H497" s="133">
        <f>SUM(H496:H496)</f>
        <v>9.8000000000000007</v>
      </c>
      <c r="I497" s="133">
        <f>SUM(I496:I496)</f>
        <v>44.4</v>
      </c>
      <c r="J497" s="6">
        <f>SUM(J496:J496)</f>
        <v>10</v>
      </c>
    </row>
    <row r="498" spans="1:10" x14ac:dyDescent="0.25">
      <c r="A498" s="269" t="s">
        <v>11</v>
      </c>
      <c r="B498" s="269"/>
      <c r="C498" s="269"/>
      <c r="D498" s="269"/>
      <c r="E498" s="269"/>
      <c r="F498" s="269"/>
      <c r="G498" s="269"/>
      <c r="H498" s="269"/>
      <c r="I498" s="269"/>
      <c r="J498" s="6"/>
    </row>
    <row r="499" spans="1:10" ht="16.899999999999999" customHeight="1" x14ac:dyDescent="0.25">
      <c r="A499" s="298" t="s">
        <v>326</v>
      </c>
      <c r="B499" s="299"/>
      <c r="C499" s="300"/>
      <c r="D499" s="24">
        <v>60</v>
      </c>
      <c r="E499" s="24">
        <v>1.2004999999999999</v>
      </c>
      <c r="F499" s="24">
        <v>0.81</v>
      </c>
      <c r="G499" s="24">
        <v>5.5</v>
      </c>
      <c r="H499" s="24">
        <v>4.99</v>
      </c>
      <c r="I499" s="24">
        <v>72.64</v>
      </c>
      <c r="J499" s="10">
        <v>5.94</v>
      </c>
    </row>
    <row r="500" spans="1:10" x14ac:dyDescent="0.25">
      <c r="A500" s="270" t="s">
        <v>317</v>
      </c>
      <c r="B500" s="270"/>
      <c r="C500" s="270"/>
      <c r="D500" s="12">
        <v>250</v>
      </c>
      <c r="E500" s="10" t="s">
        <v>280</v>
      </c>
      <c r="F500" s="13">
        <v>6.55</v>
      </c>
      <c r="G500" s="13">
        <v>6.5</v>
      </c>
      <c r="H500" s="13">
        <v>17.399999999999999</v>
      </c>
      <c r="I500" s="13">
        <v>154</v>
      </c>
      <c r="J500" s="10">
        <v>16.5</v>
      </c>
    </row>
    <row r="501" spans="1:10" x14ac:dyDescent="0.25">
      <c r="A501" s="249" t="s">
        <v>311</v>
      </c>
      <c r="B501" s="250"/>
      <c r="C501" s="251"/>
      <c r="D501" s="10">
        <v>210</v>
      </c>
      <c r="E501" s="10" t="s">
        <v>98</v>
      </c>
      <c r="F501" s="13">
        <v>13.6</v>
      </c>
      <c r="G501" s="13">
        <v>13.2</v>
      </c>
      <c r="H501" s="13">
        <v>14.7</v>
      </c>
      <c r="I501" s="13">
        <v>221</v>
      </c>
      <c r="J501" s="10">
        <v>10.8</v>
      </c>
    </row>
    <row r="502" spans="1:10" ht="16.5" customHeight="1" x14ac:dyDescent="0.25">
      <c r="A502" s="295" t="s">
        <v>323</v>
      </c>
      <c r="B502" s="296"/>
      <c r="C502" s="297"/>
      <c r="D502" s="24">
        <v>180</v>
      </c>
      <c r="E502" s="24">
        <v>394.16</v>
      </c>
      <c r="F502" s="25">
        <v>0.28999999999999998</v>
      </c>
      <c r="G502" s="25">
        <v>0.06</v>
      </c>
      <c r="H502" s="25">
        <v>20.14</v>
      </c>
      <c r="I502" s="25">
        <v>82.24</v>
      </c>
      <c r="J502" s="25" t="s">
        <v>77</v>
      </c>
    </row>
    <row r="503" spans="1:10" x14ac:dyDescent="0.25">
      <c r="A503" s="136" t="s">
        <v>23</v>
      </c>
      <c r="B503" s="137"/>
      <c r="C503" s="138"/>
      <c r="D503" s="10">
        <v>45</v>
      </c>
      <c r="E503" s="10" t="s">
        <v>80</v>
      </c>
      <c r="F503" s="13">
        <v>2.75</v>
      </c>
      <c r="G503" s="13">
        <v>0.54</v>
      </c>
      <c r="H503" s="13">
        <v>17.96</v>
      </c>
      <c r="I503" s="13">
        <v>87.66</v>
      </c>
      <c r="J503" s="25">
        <v>0</v>
      </c>
    </row>
    <row r="504" spans="1:10" x14ac:dyDescent="0.25">
      <c r="A504" s="249" t="s">
        <v>13</v>
      </c>
      <c r="B504" s="250"/>
      <c r="C504" s="251"/>
      <c r="D504" s="10">
        <v>20</v>
      </c>
      <c r="E504" s="10" t="s">
        <v>79</v>
      </c>
      <c r="F504" s="13">
        <v>1.52</v>
      </c>
      <c r="G504" s="13">
        <f>0.16</f>
        <v>0.16</v>
      </c>
      <c r="H504" s="13">
        <v>9.84</v>
      </c>
      <c r="I504" s="13">
        <v>46.88</v>
      </c>
      <c r="J504" s="6">
        <v>0</v>
      </c>
    </row>
    <row r="505" spans="1:10" x14ac:dyDescent="0.25">
      <c r="A505" s="243" t="s">
        <v>12</v>
      </c>
      <c r="B505" s="244"/>
      <c r="C505" s="245"/>
      <c r="D505" s="10">
        <f>SUM(D499:D504)</f>
        <v>765</v>
      </c>
      <c r="E505" s="10"/>
      <c r="F505" s="133">
        <f>SUM(F500:F504)</f>
        <v>24.709999999999997</v>
      </c>
      <c r="G505" s="133">
        <f>SUM(G500:G504)</f>
        <v>20.459999999999997</v>
      </c>
      <c r="H505" s="133">
        <f>SUM(H500:H504)</f>
        <v>80.039999999999992</v>
      </c>
      <c r="I505" s="133">
        <f>SUM(I500:I504)</f>
        <v>591.78</v>
      </c>
      <c r="J505" s="10">
        <f>SUM(J500:J504)</f>
        <v>27.3</v>
      </c>
    </row>
    <row r="506" spans="1:10" x14ac:dyDescent="0.25">
      <c r="A506" s="269" t="s">
        <v>37</v>
      </c>
      <c r="B506" s="269"/>
      <c r="C506" s="269"/>
      <c r="D506" s="269"/>
      <c r="E506" s="269"/>
      <c r="F506" s="269"/>
      <c r="G506" s="269"/>
      <c r="H506" s="269"/>
      <c r="I506" s="269"/>
      <c r="J506" s="10"/>
    </row>
    <row r="507" spans="1:10" ht="16.149999999999999" customHeight="1" x14ac:dyDescent="0.25">
      <c r="A507" s="249" t="s">
        <v>313</v>
      </c>
      <c r="B507" s="250"/>
      <c r="C507" s="251"/>
      <c r="D507" s="24">
        <v>85</v>
      </c>
      <c r="E507" s="24">
        <v>238.16</v>
      </c>
      <c r="F507" s="25">
        <v>11.06</v>
      </c>
      <c r="G507" s="25">
        <v>16.61</v>
      </c>
      <c r="H507" s="25">
        <v>1.77</v>
      </c>
      <c r="I507" s="25">
        <v>200.93</v>
      </c>
      <c r="J507" s="25">
        <v>0.36</v>
      </c>
    </row>
    <row r="508" spans="1:10" x14ac:dyDescent="0.25">
      <c r="A508" s="305" t="s">
        <v>258</v>
      </c>
      <c r="B508" s="305"/>
      <c r="C508" s="306"/>
      <c r="D508" s="12">
        <v>150</v>
      </c>
      <c r="E508" s="147">
        <v>212.05</v>
      </c>
      <c r="F508" s="11">
        <v>2.23</v>
      </c>
      <c r="G508" s="11">
        <v>2.35</v>
      </c>
      <c r="H508" s="11">
        <v>21.6</v>
      </c>
      <c r="I508" s="11">
        <v>166</v>
      </c>
      <c r="J508" s="10">
        <v>18.8</v>
      </c>
    </row>
    <row r="509" spans="1:10" x14ac:dyDescent="0.25">
      <c r="A509" s="249" t="s">
        <v>13</v>
      </c>
      <c r="B509" s="250"/>
      <c r="C509" s="251"/>
      <c r="D509" s="10">
        <v>30</v>
      </c>
      <c r="E509" s="10" t="s">
        <v>81</v>
      </c>
      <c r="F509" s="13">
        <v>2.2799999999999998</v>
      </c>
      <c r="G509" s="13">
        <v>0.24</v>
      </c>
      <c r="H509" s="13">
        <v>14.76</v>
      </c>
      <c r="I509" s="13">
        <v>70.319999999999993</v>
      </c>
      <c r="J509" s="10">
        <v>0</v>
      </c>
    </row>
    <row r="510" spans="1:10" x14ac:dyDescent="0.25">
      <c r="A510" s="249" t="s">
        <v>38</v>
      </c>
      <c r="B510" s="250"/>
      <c r="C510" s="251"/>
      <c r="D510" s="33">
        <v>30</v>
      </c>
      <c r="E510" s="33" t="s">
        <v>77</v>
      </c>
      <c r="F510" s="33">
        <v>2.2999999999999998</v>
      </c>
      <c r="G510" s="33">
        <v>3.3</v>
      </c>
      <c r="H510" s="33">
        <v>21.29</v>
      </c>
      <c r="I510" s="33">
        <v>121.43</v>
      </c>
      <c r="J510" s="25">
        <v>0</v>
      </c>
    </row>
    <row r="511" spans="1:10" x14ac:dyDescent="0.25">
      <c r="A511" s="249" t="s">
        <v>285</v>
      </c>
      <c r="B511" s="250"/>
      <c r="C511" s="251"/>
      <c r="D511" s="10" t="s">
        <v>348</v>
      </c>
      <c r="E511" s="10">
        <v>251</v>
      </c>
      <c r="F511" s="13">
        <f>5.22</f>
        <v>5.22</v>
      </c>
      <c r="G511" s="13">
        <v>5.76</v>
      </c>
      <c r="H511" s="13">
        <f>7.2+3.99</f>
        <v>11.190000000000001</v>
      </c>
      <c r="I511" s="13">
        <f>101.52+15.97</f>
        <v>117.49</v>
      </c>
      <c r="J511" s="25">
        <v>1.26</v>
      </c>
    </row>
    <row r="512" spans="1:10" x14ac:dyDescent="0.25">
      <c r="A512" s="243" t="s">
        <v>12</v>
      </c>
      <c r="B512" s="244"/>
      <c r="C512" s="245"/>
      <c r="D512" s="6">
        <f>185+D509+D508+D507</f>
        <v>450</v>
      </c>
      <c r="E512" s="6"/>
      <c r="F512" s="133">
        <f>SUM(F507:F511)</f>
        <v>23.09</v>
      </c>
      <c r="G512" s="133">
        <f t="shared" ref="G512:J512" si="50">SUM(G507:G511)</f>
        <v>28.259999999999998</v>
      </c>
      <c r="H512" s="133">
        <f t="shared" si="50"/>
        <v>70.61</v>
      </c>
      <c r="I512" s="133">
        <f t="shared" si="50"/>
        <v>676.17000000000007</v>
      </c>
      <c r="J512" s="133">
        <f t="shared" si="50"/>
        <v>20.420000000000002</v>
      </c>
    </row>
    <row r="513" spans="1:10" ht="17.25" customHeight="1" x14ac:dyDescent="0.25">
      <c r="A513" s="243" t="s">
        <v>14</v>
      </c>
      <c r="B513" s="244"/>
      <c r="C513" s="245"/>
      <c r="D513" s="6"/>
      <c r="E513" s="6"/>
      <c r="F513" s="133">
        <f>F512+F505+F497+F494</f>
        <v>66.639999999999986</v>
      </c>
      <c r="G513" s="133">
        <f t="shared" ref="G513:J513" si="51">G512+G505+G497+G494</f>
        <v>64.53</v>
      </c>
      <c r="H513" s="133">
        <f t="shared" si="51"/>
        <v>246.58999999999997</v>
      </c>
      <c r="I513" s="133">
        <f t="shared" si="51"/>
        <v>1871.63</v>
      </c>
      <c r="J513" s="133">
        <f t="shared" si="51"/>
        <v>60.32</v>
      </c>
    </row>
    <row r="514" spans="1:10" ht="42.75" x14ac:dyDescent="0.25">
      <c r="A514" s="269" t="s">
        <v>0</v>
      </c>
      <c r="B514" s="269"/>
      <c r="C514" s="269"/>
      <c r="D514" s="6" t="s">
        <v>1</v>
      </c>
      <c r="E514" s="6" t="s">
        <v>2</v>
      </c>
      <c r="F514" s="133" t="s">
        <v>3</v>
      </c>
      <c r="G514" s="133" t="s">
        <v>4</v>
      </c>
      <c r="H514" s="133" t="s">
        <v>28</v>
      </c>
      <c r="I514" s="134" t="s">
        <v>75</v>
      </c>
      <c r="J514" s="140" t="s">
        <v>83</v>
      </c>
    </row>
    <row r="515" spans="1:10" x14ac:dyDescent="0.25">
      <c r="A515" s="269" t="s">
        <v>222</v>
      </c>
      <c r="B515" s="269"/>
      <c r="C515" s="269"/>
      <c r="D515" s="269"/>
      <c r="E515" s="269"/>
      <c r="F515" s="269"/>
      <c r="G515" s="269"/>
      <c r="H515" s="269"/>
      <c r="I515" s="269"/>
      <c r="J515" s="269"/>
    </row>
    <row r="516" spans="1:10" x14ac:dyDescent="0.25">
      <c r="A516" s="269" t="s">
        <v>18</v>
      </c>
      <c r="B516" s="269"/>
      <c r="C516" s="269"/>
      <c r="D516" s="269"/>
      <c r="E516" s="269"/>
      <c r="F516" s="269"/>
      <c r="G516" s="269"/>
      <c r="H516" s="269"/>
      <c r="I516" s="269"/>
      <c r="J516" s="269"/>
    </row>
    <row r="517" spans="1:10" x14ac:dyDescent="0.25">
      <c r="A517" s="269" t="s">
        <v>9</v>
      </c>
      <c r="B517" s="269"/>
      <c r="C517" s="269"/>
      <c r="D517" s="269"/>
      <c r="E517" s="269"/>
      <c r="F517" s="269"/>
      <c r="G517" s="269"/>
      <c r="H517" s="269"/>
      <c r="I517" s="269"/>
      <c r="J517" s="269"/>
    </row>
    <row r="518" spans="1:10" ht="22.5" customHeight="1" x14ac:dyDescent="0.25">
      <c r="A518" s="294" t="s">
        <v>282</v>
      </c>
      <c r="B518" s="294"/>
      <c r="C518" s="294"/>
      <c r="D518" s="135" t="s">
        <v>103</v>
      </c>
      <c r="E518" s="10" t="s">
        <v>143</v>
      </c>
      <c r="F518" s="13">
        <v>1.92</v>
      </c>
      <c r="G518" s="13">
        <v>4.3600000000000003</v>
      </c>
      <c r="H518" s="13">
        <v>12.7</v>
      </c>
      <c r="I518" s="13">
        <v>98.8</v>
      </c>
      <c r="J518" s="25">
        <v>0</v>
      </c>
    </row>
    <row r="519" spans="1:10" ht="32.450000000000003" customHeight="1" x14ac:dyDescent="0.25">
      <c r="A519" s="280" t="s">
        <v>182</v>
      </c>
      <c r="B519" s="280"/>
      <c r="C519" s="280"/>
      <c r="D519" s="24" t="s">
        <v>203</v>
      </c>
      <c r="E519" s="24">
        <v>93.200500000000005</v>
      </c>
      <c r="F519" s="25">
        <v>6.2</v>
      </c>
      <c r="G519" s="25">
        <v>7.1</v>
      </c>
      <c r="H519" s="25">
        <v>24.6</v>
      </c>
      <c r="I519" s="25">
        <v>188</v>
      </c>
      <c r="J519" s="25">
        <v>1.4</v>
      </c>
    </row>
    <row r="520" spans="1:10" x14ac:dyDescent="0.25">
      <c r="A520" s="252" t="s">
        <v>73</v>
      </c>
      <c r="B520" s="252"/>
      <c r="C520" s="252"/>
      <c r="D520" s="12">
        <v>180</v>
      </c>
      <c r="E520" s="10" t="s">
        <v>199</v>
      </c>
      <c r="F520" s="25">
        <v>0</v>
      </c>
      <c r="G520" s="25">
        <v>0</v>
      </c>
      <c r="H520" s="25">
        <v>10</v>
      </c>
      <c r="I520" s="25">
        <v>40</v>
      </c>
      <c r="J520" s="25">
        <v>0</v>
      </c>
    </row>
    <row r="521" spans="1:10" x14ac:dyDescent="0.25">
      <c r="A521" s="243" t="s">
        <v>12</v>
      </c>
      <c r="B521" s="244"/>
      <c r="C521" s="245"/>
      <c r="D521" s="10">
        <f>D520+204+30</f>
        <v>414</v>
      </c>
      <c r="E521" s="10"/>
      <c r="F521" s="133">
        <f>SUM(F518:F520)</f>
        <v>8.120000000000001</v>
      </c>
      <c r="G521" s="133">
        <f t="shared" ref="G521:J521" si="52">SUM(G518:G520)</f>
        <v>11.46</v>
      </c>
      <c r="H521" s="133">
        <f t="shared" si="52"/>
        <v>47.3</v>
      </c>
      <c r="I521" s="133">
        <f t="shared" si="52"/>
        <v>326.8</v>
      </c>
      <c r="J521" s="133">
        <f t="shared" si="52"/>
        <v>1.4</v>
      </c>
    </row>
    <row r="522" spans="1:10" x14ac:dyDescent="0.25">
      <c r="A522" s="269" t="s">
        <v>8</v>
      </c>
      <c r="B522" s="269"/>
      <c r="C522" s="269"/>
      <c r="D522" s="269"/>
      <c r="E522" s="269"/>
      <c r="F522" s="269"/>
      <c r="G522" s="269"/>
      <c r="H522" s="269"/>
      <c r="I522" s="269"/>
      <c r="J522" s="6"/>
    </row>
    <row r="523" spans="1:10" ht="14.45" customHeight="1" x14ac:dyDescent="0.25">
      <c r="A523" s="249" t="s">
        <v>24</v>
      </c>
      <c r="B523" s="250"/>
      <c r="C523" s="251"/>
      <c r="D523" s="24">
        <v>180</v>
      </c>
      <c r="E523" s="24" t="s">
        <v>245</v>
      </c>
      <c r="F523" s="25">
        <v>0.9</v>
      </c>
      <c r="G523" s="25">
        <v>0.18</v>
      </c>
      <c r="H523" s="25">
        <v>18.18</v>
      </c>
      <c r="I523" s="25">
        <v>77.94</v>
      </c>
      <c r="J523" s="25">
        <v>3.6</v>
      </c>
    </row>
    <row r="524" spans="1:10" ht="14.45" customHeight="1" x14ac:dyDescent="0.25">
      <c r="A524" s="249" t="s">
        <v>38</v>
      </c>
      <c r="B524" s="250"/>
      <c r="C524" s="251"/>
      <c r="D524" s="33">
        <v>30</v>
      </c>
      <c r="E524" s="33" t="s">
        <v>77</v>
      </c>
      <c r="F524" s="33">
        <v>2.2999999999999998</v>
      </c>
      <c r="G524" s="33">
        <v>3.3</v>
      </c>
      <c r="H524" s="33">
        <v>21.29</v>
      </c>
      <c r="I524" s="33">
        <v>121.43</v>
      </c>
      <c r="J524" s="25">
        <v>0</v>
      </c>
    </row>
    <row r="525" spans="1:10" x14ac:dyDescent="0.25">
      <c r="A525" s="243" t="s">
        <v>12</v>
      </c>
      <c r="B525" s="244"/>
      <c r="C525" s="245"/>
      <c r="D525" s="10">
        <f>SUM(D523:D524)</f>
        <v>210</v>
      </c>
      <c r="E525" s="10"/>
      <c r="F525" s="133">
        <f>SUM(F523:F524)</f>
        <v>3.1999999999999997</v>
      </c>
      <c r="G525" s="133">
        <f t="shared" ref="G525:J525" si="53">SUM(G523:G524)</f>
        <v>3.48</v>
      </c>
      <c r="H525" s="133">
        <f t="shared" si="53"/>
        <v>39.47</v>
      </c>
      <c r="I525" s="133">
        <f t="shared" si="53"/>
        <v>199.37</v>
      </c>
      <c r="J525" s="133">
        <f t="shared" si="53"/>
        <v>3.6</v>
      </c>
    </row>
    <row r="526" spans="1:10" x14ac:dyDescent="0.25">
      <c r="A526" s="269" t="s">
        <v>11</v>
      </c>
      <c r="B526" s="269"/>
      <c r="C526" s="269"/>
      <c r="D526" s="269"/>
      <c r="E526" s="269"/>
      <c r="F526" s="269"/>
      <c r="G526" s="269"/>
      <c r="H526" s="269"/>
      <c r="I526" s="269"/>
      <c r="J526" s="10"/>
    </row>
    <row r="527" spans="1:10" x14ac:dyDescent="0.25">
      <c r="A527" s="280" t="s">
        <v>42</v>
      </c>
      <c r="B527" s="280"/>
      <c r="C527" s="280"/>
      <c r="D527" s="10">
        <v>60</v>
      </c>
      <c r="E527" s="10">
        <v>15</v>
      </c>
      <c r="F527" s="13">
        <v>0.5</v>
      </c>
      <c r="G527" s="13">
        <v>3.1</v>
      </c>
      <c r="H527" s="13">
        <v>1.7</v>
      </c>
      <c r="I527" s="13">
        <v>36</v>
      </c>
      <c r="J527" s="10">
        <v>4.7</v>
      </c>
    </row>
    <row r="528" spans="1:10" ht="29.45" customHeight="1" x14ac:dyDescent="0.25">
      <c r="A528" s="298" t="s">
        <v>339</v>
      </c>
      <c r="B528" s="299"/>
      <c r="C528" s="300"/>
      <c r="D528" s="10">
        <v>60</v>
      </c>
      <c r="E528" s="10">
        <v>135</v>
      </c>
      <c r="F528" s="13">
        <v>0.86</v>
      </c>
      <c r="G528" s="13">
        <v>3.06</v>
      </c>
      <c r="H528" s="13">
        <v>8.01</v>
      </c>
      <c r="I528" s="13">
        <v>62.95</v>
      </c>
      <c r="J528" s="25">
        <v>5.7</v>
      </c>
    </row>
    <row r="529" spans="1:10" ht="26.25" customHeight="1" x14ac:dyDescent="0.25">
      <c r="A529" s="298" t="s">
        <v>148</v>
      </c>
      <c r="B529" s="299"/>
      <c r="C529" s="300"/>
      <c r="D529" s="12" t="s">
        <v>213</v>
      </c>
      <c r="E529" s="10">
        <v>56.200499999999998</v>
      </c>
      <c r="F529" s="13">
        <v>2.1800000000000002</v>
      </c>
      <c r="G529" s="13">
        <v>7.69</v>
      </c>
      <c r="H529" s="13">
        <v>10.82</v>
      </c>
      <c r="I529" s="13">
        <v>114.74</v>
      </c>
      <c r="J529" s="25">
        <v>22.7</v>
      </c>
    </row>
    <row r="530" spans="1:10" x14ac:dyDescent="0.25">
      <c r="A530" s="249" t="s">
        <v>230</v>
      </c>
      <c r="B530" s="250"/>
      <c r="C530" s="251"/>
      <c r="D530" s="10">
        <v>70</v>
      </c>
      <c r="E530" s="10">
        <v>46</v>
      </c>
      <c r="F530" s="13">
        <v>12.06</v>
      </c>
      <c r="G530" s="13">
        <v>11.79</v>
      </c>
      <c r="H530" s="13">
        <v>6.26</v>
      </c>
      <c r="I530" s="13">
        <v>177.37</v>
      </c>
      <c r="J530" s="10">
        <v>1.62</v>
      </c>
    </row>
    <row r="531" spans="1:10" x14ac:dyDescent="0.25">
      <c r="A531" s="15" t="s">
        <v>108</v>
      </c>
      <c r="B531" s="15"/>
      <c r="C531" s="15"/>
      <c r="D531" s="10">
        <v>150</v>
      </c>
      <c r="E531" s="10">
        <v>510.2004</v>
      </c>
      <c r="F531" s="13">
        <v>4.5999999999999996</v>
      </c>
      <c r="G531" s="13">
        <v>5</v>
      </c>
      <c r="H531" s="13">
        <v>20.8</v>
      </c>
      <c r="I531" s="13">
        <v>147</v>
      </c>
      <c r="J531" s="14">
        <v>0</v>
      </c>
    </row>
    <row r="532" spans="1:10" x14ac:dyDescent="0.25">
      <c r="A532" s="295" t="s">
        <v>323</v>
      </c>
      <c r="B532" s="296"/>
      <c r="C532" s="297"/>
      <c r="D532" s="24">
        <v>180</v>
      </c>
      <c r="E532" s="24">
        <v>394.16</v>
      </c>
      <c r="F532" s="25">
        <v>0.64</v>
      </c>
      <c r="G532" s="25">
        <v>0.04</v>
      </c>
      <c r="H532" s="25">
        <v>18.3</v>
      </c>
      <c r="I532" s="25">
        <v>76.11</v>
      </c>
      <c r="J532" s="25">
        <v>0.5</v>
      </c>
    </row>
    <row r="533" spans="1:10" x14ac:dyDescent="0.25">
      <c r="A533" s="136" t="s">
        <v>23</v>
      </c>
      <c r="B533" s="137"/>
      <c r="C533" s="138"/>
      <c r="D533" s="10">
        <v>45</v>
      </c>
      <c r="E533" s="10" t="s">
        <v>80</v>
      </c>
      <c r="F533" s="13">
        <v>2.75</v>
      </c>
      <c r="G533" s="13">
        <v>0.54</v>
      </c>
      <c r="H533" s="13">
        <v>17.96</v>
      </c>
      <c r="I533" s="13">
        <v>87.66</v>
      </c>
      <c r="J533" s="25">
        <v>0</v>
      </c>
    </row>
    <row r="534" spans="1:10" x14ac:dyDescent="0.25">
      <c r="A534" s="249" t="s">
        <v>13</v>
      </c>
      <c r="B534" s="250"/>
      <c r="C534" s="251"/>
      <c r="D534" s="10">
        <v>15</v>
      </c>
      <c r="E534" s="10" t="s">
        <v>79</v>
      </c>
      <c r="F534" s="13">
        <v>1.52</v>
      </c>
      <c r="G534" s="13">
        <f>0.16</f>
        <v>0.16</v>
      </c>
      <c r="H534" s="13">
        <v>9.84</v>
      </c>
      <c r="I534" s="13">
        <v>46.88</v>
      </c>
      <c r="J534" s="6">
        <v>0</v>
      </c>
    </row>
    <row r="535" spans="1:10" x14ac:dyDescent="0.25">
      <c r="A535" s="243" t="s">
        <v>12</v>
      </c>
      <c r="B535" s="244"/>
      <c r="C535" s="245"/>
      <c r="D535" s="10">
        <f>D534+D533+D532+D531+D530+D528+250+15</f>
        <v>785</v>
      </c>
      <c r="E535" s="10"/>
      <c r="F535" s="133">
        <f>SUM(F528:F534)</f>
        <v>24.610000000000003</v>
      </c>
      <c r="G535" s="133">
        <f>SUM(G528:G534)</f>
        <v>28.279999999999998</v>
      </c>
      <c r="H535" s="133">
        <f>SUM(H528:H534)</f>
        <v>91.990000000000009</v>
      </c>
      <c r="I535" s="133">
        <f>SUM(I528:I534)</f>
        <v>712.70999999999992</v>
      </c>
      <c r="J535" s="10">
        <f>SUM(J528:J534)</f>
        <v>30.52</v>
      </c>
    </row>
    <row r="536" spans="1:10" x14ac:dyDescent="0.25">
      <c r="A536" s="269" t="s">
        <v>37</v>
      </c>
      <c r="B536" s="269"/>
      <c r="C536" s="269"/>
      <c r="D536" s="269"/>
      <c r="E536" s="269"/>
      <c r="F536" s="269"/>
      <c r="G536" s="269"/>
      <c r="H536" s="269"/>
      <c r="I536" s="269"/>
      <c r="J536" s="13"/>
    </row>
    <row r="537" spans="1:10" ht="29.25" customHeight="1" x14ac:dyDescent="0.25">
      <c r="A537" s="266" t="s">
        <v>312</v>
      </c>
      <c r="B537" s="266"/>
      <c r="C537" s="266"/>
      <c r="D537" s="32" t="s">
        <v>288</v>
      </c>
      <c r="E537" s="24">
        <v>117.224</v>
      </c>
      <c r="F537" s="29">
        <f>30.53+0.28</f>
        <v>30.810000000000002</v>
      </c>
      <c r="G537" s="29">
        <f>12.7+0.64</f>
        <v>13.34</v>
      </c>
      <c r="H537" s="29">
        <f>21.84+1.79</f>
        <v>23.63</v>
      </c>
      <c r="I537" s="29">
        <f>321.97+14.01</f>
        <v>335.98</v>
      </c>
      <c r="J537" s="25">
        <f>4.36+0.1</f>
        <v>4.46</v>
      </c>
    </row>
    <row r="538" spans="1:10" x14ac:dyDescent="0.25">
      <c r="A538" s="7" t="s">
        <v>259</v>
      </c>
      <c r="B538" s="7"/>
      <c r="C538" s="7"/>
      <c r="D538" s="10">
        <v>100</v>
      </c>
      <c r="E538" s="10"/>
      <c r="F538" s="13">
        <v>0.4</v>
      </c>
      <c r="G538" s="13">
        <v>0.4</v>
      </c>
      <c r="H538" s="13">
        <v>9.8000000000000007</v>
      </c>
      <c r="I538" s="13">
        <v>44.4</v>
      </c>
      <c r="J538" s="10">
        <v>10</v>
      </c>
    </row>
    <row r="539" spans="1:10" ht="14.45" customHeight="1" x14ac:dyDescent="0.25">
      <c r="A539" s="249" t="s">
        <v>285</v>
      </c>
      <c r="B539" s="250"/>
      <c r="C539" s="251"/>
      <c r="D539" s="10" t="s">
        <v>348</v>
      </c>
      <c r="E539" s="10">
        <v>251</v>
      </c>
      <c r="F539" s="13">
        <f>5.22</f>
        <v>5.22</v>
      </c>
      <c r="G539" s="13">
        <v>5.76</v>
      </c>
      <c r="H539" s="13">
        <f>7.2+3.99</f>
        <v>11.190000000000001</v>
      </c>
      <c r="I539" s="13">
        <f>101.52+15.97</f>
        <v>117.49</v>
      </c>
      <c r="J539" s="25">
        <v>1.26</v>
      </c>
    </row>
    <row r="540" spans="1:10" x14ac:dyDescent="0.25">
      <c r="A540" s="249" t="s">
        <v>13</v>
      </c>
      <c r="B540" s="250"/>
      <c r="C540" s="251"/>
      <c r="D540" s="10">
        <v>10</v>
      </c>
      <c r="E540" s="10" t="s">
        <v>79</v>
      </c>
      <c r="F540" s="13">
        <v>1.52</v>
      </c>
      <c r="G540" s="13">
        <v>0.16</v>
      </c>
      <c r="H540" s="13">
        <v>9.84</v>
      </c>
      <c r="I540" s="13">
        <v>46.88</v>
      </c>
      <c r="J540" s="6">
        <v>0</v>
      </c>
    </row>
    <row r="541" spans="1:10" ht="11.25" customHeight="1" x14ac:dyDescent="0.25">
      <c r="A541" s="243" t="s">
        <v>12</v>
      </c>
      <c r="B541" s="244"/>
      <c r="C541" s="245"/>
      <c r="D541" s="6">
        <f>D540+185+D538+150+15</f>
        <v>460</v>
      </c>
      <c r="E541" s="6"/>
      <c r="F541" s="133">
        <f>SUM(F537:F540)</f>
        <v>37.950000000000003</v>
      </c>
      <c r="G541" s="133">
        <f t="shared" ref="G541:J541" si="54">SUM(G537:G540)</f>
        <v>19.66</v>
      </c>
      <c r="H541" s="133">
        <f t="shared" si="54"/>
        <v>54.460000000000008</v>
      </c>
      <c r="I541" s="133">
        <f t="shared" si="54"/>
        <v>544.75</v>
      </c>
      <c r="J541" s="133">
        <f t="shared" si="54"/>
        <v>15.72</v>
      </c>
    </row>
    <row r="542" spans="1:10" ht="42.75" customHeight="1" thickBot="1" x14ac:dyDescent="0.3">
      <c r="A542" s="142" t="s">
        <v>14</v>
      </c>
      <c r="B542" s="143"/>
      <c r="C542" s="143"/>
      <c r="D542" s="144"/>
      <c r="E542" s="145"/>
      <c r="F542" s="146">
        <f>F541+F535+F525+F521</f>
        <v>73.88000000000001</v>
      </c>
      <c r="G542" s="146">
        <f t="shared" ref="G542:J542" si="55">G541+G535+G525+G521</f>
        <v>62.879999999999995</v>
      </c>
      <c r="H542" s="146">
        <f t="shared" si="55"/>
        <v>233.22000000000003</v>
      </c>
      <c r="I542" s="146">
        <f t="shared" si="55"/>
        <v>1783.6299999999999</v>
      </c>
      <c r="J542" s="146">
        <f t="shared" si="55"/>
        <v>51.24</v>
      </c>
    </row>
    <row r="543" spans="1:10" hidden="1" x14ac:dyDescent="0.25"/>
    <row r="544" spans="1:10" ht="24.6" hidden="1" customHeight="1" x14ac:dyDescent="0.25"/>
    <row r="545" spans="1:10" ht="42.75" x14ac:dyDescent="0.25">
      <c r="A545" s="269" t="s">
        <v>0</v>
      </c>
      <c r="B545" s="269"/>
      <c r="C545" s="269"/>
      <c r="D545" s="6" t="s">
        <v>1</v>
      </c>
      <c r="E545" s="6" t="s">
        <v>2</v>
      </c>
      <c r="F545" s="133" t="s">
        <v>3</v>
      </c>
      <c r="G545" s="133" t="s">
        <v>4</v>
      </c>
      <c r="H545" s="133" t="s">
        <v>28</v>
      </c>
      <c r="I545" s="134" t="s">
        <v>75</v>
      </c>
      <c r="J545" s="6" t="s">
        <v>76</v>
      </c>
    </row>
    <row r="546" spans="1:10" x14ac:dyDescent="0.25">
      <c r="A546" s="269" t="s">
        <v>222</v>
      </c>
      <c r="B546" s="269"/>
      <c r="C546" s="269"/>
      <c r="D546" s="269"/>
      <c r="E546" s="269"/>
      <c r="F546" s="269"/>
      <c r="G546" s="269"/>
      <c r="H546" s="269"/>
      <c r="I546" s="269"/>
      <c r="J546" s="269"/>
    </row>
    <row r="547" spans="1:10" x14ac:dyDescent="0.25">
      <c r="A547" s="269" t="s">
        <v>20</v>
      </c>
      <c r="B547" s="269"/>
      <c r="C547" s="269"/>
      <c r="D547" s="269"/>
      <c r="E547" s="269"/>
      <c r="F547" s="269"/>
      <c r="G547" s="269"/>
      <c r="H547" s="269"/>
      <c r="I547" s="269"/>
      <c r="J547" s="269"/>
    </row>
    <row r="548" spans="1:10" x14ac:dyDescent="0.25">
      <c r="A548" s="269" t="s">
        <v>9</v>
      </c>
      <c r="B548" s="269"/>
      <c r="C548" s="269"/>
      <c r="D548" s="269"/>
      <c r="E548" s="269"/>
      <c r="F548" s="269"/>
      <c r="G548" s="269"/>
      <c r="H548" s="269"/>
      <c r="I548" s="269"/>
      <c r="J548" s="269"/>
    </row>
    <row r="549" spans="1:10" ht="37.5" customHeight="1" x14ac:dyDescent="0.25">
      <c r="A549" s="298" t="s">
        <v>314</v>
      </c>
      <c r="B549" s="299"/>
      <c r="C549" s="300"/>
      <c r="D549" s="135" t="s">
        <v>202</v>
      </c>
      <c r="E549" s="10" t="s">
        <v>250</v>
      </c>
      <c r="F549" s="13">
        <v>4.68</v>
      </c>
      <c r="G549" s="13">
        <v>7.15</v>
      </c>
      <c r="H549" s="13">
        <v>12.7</v>
      </c>
      <c r="I549" s="13">
        <v>134.97999999999999</v>
      </c>
      <c r="J549" s="14">
        <v>7.0000000000000007E-2</v>
      </c>
    </row>
    <row r="550" spans="1:10" ht="27.6" customHeight="1" x14ac:dyDescent="0.25">
      <c r="A550" s="280" t="s">
        <v>340</v>
      </c>
      <c r="B550" s="280"/>
      <c r="C550" s="280"/>
      <c r="D550" s="24" t="s">
        <v>203</v>
      </c>
      <c r="E550" s="24">
        <v>99.200500000000005</v>
      </c>
      <c r="F550" s="25">
        <v>5.43</v>
      </c>
      <c r="G550" s="25">
        <v>5.73</v>
      </c>
      <c r="H550" s="25">
        <v>26.19</v>
      </c>
      <c r="I550" s="25">
        <v>178.73</v>
      </c>
      <c r="J550" s="25">
        <v>1.3</v>
      </c>
    </row>
    <row r="551" spans="1:10" x14ac:dyDescent="0.25">
      <c r="A551" s="249" t="s">
        <v>22</v>
      </c>
      <c r="B551" s="250"/>
      <c r="C551" s="251"/>
      <c r="D551" s="10">
        <v>180</v>
      </c>
      <c r="E551" s="10" t="s">
        <v>246</v>
      </c>
      <c r="F551" s="11">
        <v>1.22</v>
      </c>
      <c r="G551" s="11">
        <v>1.05</v>
      </c>
      <c r="H551" s="11">
        <v>12.01</v>
      </c>
      <c r="I551" s="11">
        <v>62.65</v>
      </c>
      <c r="J551" s="10">
        <v>0.55000000000000004</v>
      </c>
    </row>
    <row r="552" spans="1:10" x14ac:dyDescent="0.25">
      <c r="A552" s="243" t="s">
        <v>12</v>
      </c>
      <c r="B552" s="244"/>
      <c r="C552" s="245"/>
      <c r="D552" s="10">
        <f>D551+204+25+5+10.5</f>
        <v>424.5</v>
      </c>
      <c r="E552" s="10"/>
      <c r="F552" s="133">
        <f>SUM(F549:F551)</f>
        <v>11.33</v>
      </c>
      <c r="G552" s="133">
        <f t="shared" ref="G552:J552" si="56">SUM(G549:G551)</f>
        <v>13.930000000000001</v>
      </c>
      <c r="H552" s="133">
        <f t="shared" si="56"/>
        <v>50.9</v>
      </c>
      <c r="I552" s="133">
        <f t="shared" si="56"/>
        <v>376.35999999999996</v>
      </c>
      <c r="J552" s="133">
        <f t="shared" si="56"/>
        <v>1.9200000000000002</v>
      </c>
    </row>
    <row r="553" spans="1:10" x14ac:dyDescent="0.25">
      <c r="A553" s="269" t="s">
        <v>8</v>
      </c>
      <c r="B553" s="269"/>
      <c r="C553" s="269"/>
      <c r="D553" s="269"/>
      <c r="E553" s="269"/>
      <c r="F553" s="269"/>
      <c r="G553" s="269"/>
      <c r="H553" s="269"/>
      <c r="I553" s="269"/>
      <c r="J553" s="6"/>
    </row>
    <row r="554" spans="1:10" x14ac:dyDescent="0.25">
      <c r="A554" s="249" t="s">
        <v>38</v>
      </c>
      <c r="B554" s="250"/>
      <c r="C554" s="251"/>
      <c r="D554" s="10">
        <v>30</v>
      </c>
      <c r="E554" s="10" t="s">
        <v>85</v>
      </c>
      <c r="F554" s="13">
        <v>2.2999999999999998</v>
      </c>
      <c r="G554" s="13">
        <v>3.3</v>
      </c>
      <c r="H554" s="13">
        <v>21.3</v>
      </c>
      <c r="I554" s="13">
        <v>124</v>
      </c>
      <c r="J554" s="6">
        <v>0</v>
      </c>
    </row>
    <row r="555" spans="1:10" x14ac:dyDescent="0.25">
      <c r="A555" s="249" t="s">
        <v>24</v>
      </c>
      <c r="B555" s="250"/>
      <c r="C555" s="251"/>
      <c r="D555" s="24">
        <v>180</v>
      </c>
      <c r="E555" s="24" t="s">
        <v>245</v>
      </c>
      <c r="F555" s="25">
        <v>0.9</v>
      </c>
      <c r="G555" s="25">
        <v>0.18</v>
      </c>
      <c r="H555" s="25">
        <v>18.18</v>
      </c>
      <c r="I555" s="25">
        <v>77.94</v>
      </c>
      <c r="J555" s="25">
        <v>3.6</v>
      </c>
    </row>
    <row r="556" spans="1:10" x14ac:dyDescent="0.25">
      <c r="A556" s="243" t="s">
        <v>12</v>
      </c>
      <c r="B556" s="244"/>
      <c r="C556" s="245"/>
      <c r="D556" s="10">
        <f>SUM(D554:D555)</f>
        <v>210</v>
      </c>
      <c r="E556" s="10"/>
      <c r="F556" s="133">
        <f>SUM(F554:F555)</f>
        <v>3.1999999999999997</v>
      </c>
      <c r="G556" s="133">
        <f>SUM(G554:G555)</f>
        <v>3.48</v>
      </c>
      <c r="H556" s="133">
        <f>SUM(H554:H555)</f>
        <v>39.480000000000004</v>
      </c>
      <c r="I556" s="133">
        <f>SUM(I554:I555)</f>
        <v>201.94</v>
      </c>
      <c r="J556" s="10">
        <f>SUM(J554:J555)</f>
        <v>3.6</v>
      </c>
    </row>
    <row r="557" spans="1:10" x14ac:dyDescent="0.25">
      <c r="A557" s="269" t="s">
        <v>11</v>
      </c>
      <c r="B557" s="269"/>
      <c r="C557" s="269"/>
      <c r="D557" s="269"/>
      <c r="E557" s="269"/>
      <c r="F557" s="269"/>
      <c r="G557" s="269"/>
      <c r="H557" s="269"/>
      <c r="I557" s="269"/>
      <c r="J557" s="10"/>
    </row>
    <row r="558" spans="1:10" x14ac:dyDescent="0.25">
      <c r="A558" s="249" t="s">
        <v>319</v>
      </c>
      <c r="B558" s="250"/>
      <c r="C558" s="251"/>
      <c r="D558" s="24">
        <v>60</v>
      </c>
      <c r="E558" s="33">
        <v>10.050000000000001</v>
      </c>
      <c r="F558" s="29">
        <v>0.68</v>
      </c>
      <c r="G558" s="29">
        <v>4.05</v>
      </c>
      <c r="H558" s="29">
        <v>8.58</v>
      </c>
      <c r="I558" s="29">
        <v>73.44</v>
      </c>
      <c r="J558" s="25">
        <v>2.6</v>
      </c>
    </row>
    <row r="559" spans="1:10" ht="25.15" customHeight="1" x14ac:dyDescent="0.25">
      <c r="A559" s="298" t="s">
        <v>341</v>
      </c>
      <c r="B559" s="299"/>
      <c r="C559" s="300"/>
      <c r="D559" s="10" t="s">
        <v>205</v>
      </c>
      <c r="E559" s="10">
        <v>34.049999999999997</v>
      </c>
      <c r="F559" s="13">
        <v>24.49</v>
      </c>
      <c r="G559" s="13">
        <v>5.56</v>
      </c>
      <c r="H559" s="13">
        <v>17.52</v>
      </c>
      <c r="I559" s="13">
        <v>133.69</v>
      </c>
      <c r="J559" s="10">
        <v>27</v>
      </c>
    </row>
    <row r="560" spans="1:10" x14ac:dyDescent="0.25">
      <c r="A560" s="307" t="s">
        <v>231</v>
      </c>
      <c r="B560" s="308"/>
      <c r="C560" s="309"/>
      <c r="D560" s="12">
        <v>70</v>
      </c>
      <c r="E560" s="10">
        <v>135.05000000000001</v>
      </c>
      <c r="F560" s="25">
        <v>8.9</v>
      </c>
      <c r="G560" s="25">
        <v>2.9</v>
      </c>
      <c r="H560" s="25">
        <v>13.2</v>
      </c>
      <c r="I560" s="25">
        <v>117</v>
      </c>
      <c r="J560" s="25">
        <v>11.4</v>
      </c>
    </row>
    <row r="561" spans="1:10" ht="16.5" customHeight="1" x14ac:dyDescent="0.25">
      <c r="A561" s="249" t="s">
        <v>16</v>
      </c>
      <c r="B561" s="250"/>
      <c r="C561" s="251"/>
      <c r="D561" s="24">
        <v>150</v>
      </c>
      <c r="E561" s="24">
        <v>206.20050000000001</v>
      </c>
      <c r="F561" s="29">
        <v>3.22</v>
      </c>
      <c r="G561" s="29">
        <v>3.62</v>
      </c>
      <c r="H561" s="29">
        <v>21.69</v>
      </c>
      <c r="I561" s="29">
        <v>132.32</v>
      </c>
      <c r="J561" s="25">
        <v>25.5</v>
      </c>
    </row>
    <row r="562" spans="1:10" x14ac:dyDescent="0.25">
      <c r="A562" s="15" t="s">
        <v>247</v>
      </c>
      <c r="B562" s="15"/>
      <c r="C562" s="15"/>
      <c r="D562" s="24">
        <v>180</v>
      </c>
      <c r="E562" s="24" t="s">
        <v>234</v>
      </c>
      <c r="F562" s="25">
        <v>0.34</v>
      </c>
      <c r="G562" s="25">
        <v>7.0000000000000007E-2</v>
      </c>
      <c r="H562" s="25">
        <v>11.99</v>
      </c>
      <c r="I562" s="25">
        <v>86.66</v>
      </c>
      <c r="J562" s="25">
        <v>0.49</v>
      </c>
    </row>
    <row r="563" spans="1:10" x14ac:dyDescent="0.25">
      <c r="A563" s="136" t="s">
        <v>23</v>
      </c>
      <c r="B563" s="137"/>
      <c r="C563" s="138"/>
      <c r="D563" s="10">
        <v>45</v>
      </c>
      <c r="E563" s="10" t="s">
        <v>80</v>
      </c>
      <c r="F563" s="13">
        <v>2.75</v>
      </c>
      <c r="G563" s="13">
        <v>0.54</v>
      </c>
      <c r="H563" s="13">
        <v>17.96</v>
      </c>
      <c r="I563" s="13">
        <v>87.66</v>
      </c>
      <c r="J563" s="25">
        <v>0</v>
      </c>
    </row>
    <row r="564" spans="1:10" x14ac:dyDescent="0.25">
      <c r="A564" s="249" t="s">
        <v>13</v>
      </c>
      <c r="B564" s="250"/>
      <c r="C564" s="251"/>
      <c r="D564" s="10">
        <v>20</v>
      </c>
      <c r="E564" s="10" t="s">
        <v>79</v>
      </c>
      <c r="F564" s="13">
        <v>1.52</v>
      </c>
      <c r="G564" s="13">
        <f>0.16</f>
        <v>0.16</v>
      </c>
      <c r="H564" s="13">
        <v>9.84</v>
      </c>
      <c r="I564" s="13">
        <v>46.88</v>
      </c>
      <c r="J564" s="6">
        <v>0</v>
      </c>
    </row>
    <row r="565" spans="1:10" x14ac:dyDescent="0.25">
      <c r="A565" s="243" t="s">
        <v>12</v>
      </c>
      <c r="B565" s="244"/>
      <c r="C565" s="245"/>
      <c r="D565" s="10">
        <f>D564+D563+D562+D561+D560+D558+250+10</f>
        <v>785</v>
      </c>
      <c r="E565" s="10"/>
      <c r="F565" s="133">
        <f>SUM(F558:F564)</f>
        <v>41.900000000000006</v>
      </c>
      <c r="G565" s="133">
        <f t="shared" ref="G565:J565" si="57">SUM(G558:G564)</f>
        <v>16.899999999999999</v>
      </c>
      <c r="H565" s="133">
        <f t="shared" si="57"/>
        <v>100.78</v>
      </c>
      <c r="I565" s="133">
        <f t="shared" si="57"/>
        <v>677.65</v>
      </c>
      <c r="J565" s="133">
        <f t="shared" si="57"/>
        <v>66.989999999999995</v>
      </c>
    </row>
    <row r="566" spans="1:10" x14ac:dyDescent="0.25">
      <c r="A566" s="269" t="s">
        <v>37</v>
      </c>
      <c r="B566" s="269"/>
      <c r="C566" s="269"/>
      <c r="D566" s="269"/>
      <c r="E566" s="269"/>
      <c r="F566" s="269"/>
      <c r="G566" s="269"/>
      <c r="H566" s="269"/>
      <c r="I566" s="269"/>
      <c r="J566" s="10"/>
    </row>
    <row r="567" spans="1:10" ht="15" customHeight="1" x14ac:dyDescent="0.25">
      <c r="A567" s="266" t="s">
        <v>19</v>
      </c>
      <c r="B567" s="266"/>
      <c r="C567" s="266"/>
      <c r="D567" s="139">
        <v>150</v>
      </c>
      <c r="E567" s="10">
        <v>200.20050000000001</v>
      </c>
      <c r="F567" s="139">
        <v>2.69</v>
      </c>
      <c r="G567" s="139">
        <v>3.05</v>
      </c>
      <c r="H567" s="139">
        <v>9.61</v>
      </c>
      <c r="I567" s="139">
        <v>77.540000000000006</v>
      </c>
      <c r="J567" s="10">
        <v>96.15</v>
      </c>
    </row>
    <row r="568" spans="1:10" ht="14.45" customHeight="1" x14ac:dyDescent="0.25">
      <c r="A568" s="307" t="s">
        <v>342</v>
      </c>
      <c r="B568" s="308"/>
      <c r="C568" s="309"/>
      <c r="D568" s="26">
        <v>100</v>
      </c>
      <c r="E568" s="24">
        <v>779</v>
      </c>
      <c r="F568" s="25">
        <v>8.77</v>
      </c>
      <c r="G568" s="25">
        <v>11.3</v>
      </c>
      <c r="H568" s="25">
        <v>56.6</v>
      </c>
      <c r="I568" s="25">
        <v>363.33</v>
      </c>
      <c r="J568" s="25">
        <v>0.74</v>
      </c>
    </row>
    <row r="569" spans="1:10" x14ac:dyDescent="0.25">
      <c r="A569" s="249" t="s">
        <v>13</v>
      </c>
      <c r="B569" s="250"/>
      <c r="C569" s="251"/>
      <c r="D569" s="10">
        <v>20</v>
      </c>
      <c r="E569" s="10" t="s">
        <v>79</v>
      </c>
      <c r="F569" s="13">
        <v>1.52</v>
      </c>
      <c r="G569" s="13">
        <f>0.16</f>
        <v>0.16</v>
      </c>
      <c r="H569" s="13">
        <v>9.84</v>
      </c>
      <c r="I569" s="13">
        <v>46.88</v>
      </c>
      <c r="J569" s="6">
        <v>0</v>
      </c>
    </row>
    <row r="570" spans="1:10" ht="24.75" customHeight="1" x14ac:dyDescent="0.25">
      <c r="A570" s="249" t="s">
        <v>343</v>
      </c>
      <c r="B570" s="250"/>
      <c r="C570" s="251"/>
      <c r="D570" s="10">
        <v>180</v>
      </c>
      <c r="E570" s="10">
        <v>251</v>
      </c>
      <c r="F570" s="13">
        <v>5.22</v>
      </c>
      <c r="G570" s="13">
        <v>5.76</v>
      </c>
      <c r="H570" s="13">
        <v>7.2</v>
      </c>
      <c r="I570" s="13">
        <v>101.52</v>
      </c>
      <c r="J570" s="25">
        <v>1.26</v>
      </c>
    </row>
    <row r="571" spans="1:10" x14ac:dyDescent="0.25">
      <c r="A571" s="7" t="s">
        <v>259</v>
      </c>
      <c r="B571" s="7"/>
      <c r="C571" s="7"/>
      <c r="D571" s="10">
        <v>90</v>
      </c>
      <c r="E571" s="10"/>
      <c r="F571" s="13">
        <v>0.36</v>
      </c>
      <c r="G571" s="13">
        <v>0.36</v>
      </c>
      <c r="H571" s="13">
        <v>8.82</v>
      </c>
      <c r="I571" s="13">
        <v>39.96</v>
      </c>
      <c r="J571" s="10">
        <v>9</v>
      </c>
    </row>
    <row r="572" spans="1:10" ht="15" customHeight="1" x14ac:dyDescent="0.25">
      <c r="A572" s="243" t="s">
        <v>12</v>
      </c>
      <c r="B572" s="244"/>
      <c r="C572" s="245"/>
      <c r="D572" s="6">
        <f>D567+D568+D569+D570+D571</f>
        <v>540</v>
      </c>
      <c r="E572" s="6"/>
      <c r="F572" s="133">
        <f>F571+F570+F569+F568+F567</f>
        <v>18.559999999999999</v>
      </c>
      <c r="G572" s="133">
        <f t="shared" ref="G572:J572" si="58">G571+G570+G569+G568+G567</f>
        <v>20.630000000000003</v>
      </c>
      <c r="H572" s="133">
        <f t="shared" si="58"/>
        <v>92.070000000000007</v>
      </c>
      <c r="I572" s="133">
        <f t="shared" si="58"/>
        <v>629.2299999999999</v>
      </c>
      <c r="J572" s="133">
        <f t="shared" si="58"/>
        <v>107.15</v>
      </c>
    </row>
    <row r="573" spans="1:10" x14ac:dyDescent="0.25">
      <c r="A573" s="243" t="s">
        <v>14</v>
      </c>
      <c r="B573" s="244"/>
      <c r="C573" s="245"/>
      <c r="D573" s="6"/>
      <c r="E573" s="6"/>
      <c r="F573" s="133">
        <f>F572+F565+F556+F552</f>
        <v>74.990000000000009</v>
      </c>
      <c r="G573" s="133">
        <f t="shared" ref="G573:J573" si="59">G572+G565+G556+G552</f>
        <v>54.94</v>
      </c>
      <c r="H573" s="133">
        <f t="shared" si="59"/>
        <v>283.23</v>
      </c>
      <c r="I573" s="133">
        <f t="shared" si="59"/>
        <v>1885.1799999999998</v>
      </c>
      <c r="J573" s="133">
        <f t="shared" si="59"/>
        <v>179.65999999999997</v>
      </c>
    </row>
    <row r="574" spans="1:10" x14ac:dyDescent="0.25">
      <c r="A574" s="1" t="s">
        <v>31</v>
      </c>
      <c r="B574" s="1"/>
      <c r="C574" s="1"/>
      <c r="D574" s="2"/>
      <c r="E574" s="18"/>
      <c r="F574" s="31"/>
      <c r="G574" s="31"/>
      <c r="H574" s="31"/>
      <c r="I574" s="31"/>
      <c r="J574" s="184"/>
    </row>
    <row r="575" spans="1:10" x14ac:dyDescent="0.25">
      <c r="A575" s="1" t="s">
        <v>32</v>
      </c>
      <c r="B575" s="1"/>
      <c r="C575" s="1"/>
      <c r="D575" s="2"/>
      <c r="E575" s="2"/>
      <c r="F575" s="3"/>
      <c r="G575" s="3"/>
      <c r="H575" s="3"/>
      <c r="I575" s="3"/>
      <c r="J575" s="184"/>
    </row>
    <row r="576" spans="1:10" x14ac:dyDescent="0.25">
      <c r="A576" s="1" t="s">
        <v>33</v>
      </c>
      <c r="B576" s="1"/>
      <c r="C576" s="1"/>
      <c r="D576" s="2"/>
      <c r="E576" s="2"/>
      <c r="F576" s="3"/>
      <c r="G576" s="3"/>
      <c r="H576" s="3"/>
      <c r="I576" s="3"/>
      <c r="J576" s="184"/>
    </row>
    <row r="577" spans="1:10" x14ac:dyDescent="0.25">
      <c r="A577" s="1" t="s">
        <v>369</v>
      </c>
      <c r="B577" s="1"/>
      <c r="C577" s="1"/>
      <c r="D577" s="2"/>
      <c r="E577" s="2"/>
      <c r="F577" s="3"/>
      <c r="G577" s="3"/>
      <c r="H577" s="3"/>
      <c r="I577" s="3"/>
      <c r="J577" s="184"/>
    </row>
    <row r="578" spans="1:10" x14ac:dyDescent="0.25">
      <c r="A578" s="1" t="s">
        <v>35</v>
      </c>
      <c r="B578" s="1"/>
      <c r="C578" s="1"/>
      <c r="D578" s="2"/>
      <c r="E578" s="2"/>
      <c r="F578" s="3"/>
      <c r="G578" s="3"/>
      <c r="H578" s="3"/>
      <c r="I578" s="3"/>
      <c r="J578" s="184"/>
    </row>
    <row r="579" spans="1:10" ht="28.5" customHeight="1" x14ac:dyDescent="0.25">
      <c r="A579" s="332" t="s">
        <v>370</v>
      </c>
      <c r="B579" s="332"/>
      <c r="C579" s="332"/>
      <c r="D579" s="332"/>
      <c r="E579" s="332"/>
      <c r="F579" s="332"/>
      <c r="G579" s="332"/>
      <c r="H579" s="332"/>
      <c r="I579" s="332"/>
      <c r="J579" s="332"/>
    </row>
    <row r="580" spans="1:10" x14ac:dyDescent="0.25">
      <c r="A580" s="1" t="s">
        <v>371</v>
      </c>
      <c r="B580" s="1"/>
      <c r="C580" s="1"/>
      <c r="D580" s="2"/>
      <c r="E580" s="2"/>
      <c r="F580" s="3"/>
      <c r="G580" s="3"/>
      <c r="H580" s="184"/>
      <c r="I580" s="184"/>
      <c r="J580" s="184"/>
    </row>
    <row r="581" spans="1:10" ht="38.25" customHeight="1" x14ac:dyDescent="0.25">
      <c r="A581" s="332" t="s">
        <v>372</v>
      </c>
      <c r="B581" s="332"/>
      <c r="C581" s="332"/>
      <c r="D581" s="332"/>
      <c r="E581" s="332"/>
      <c r="F581" s="332"/>
      <c r="G581" s="332"/>
      <c r="H581" s="332"/>
      <c r="I581" s="332"/>
      <c r="J581" s="185"/>
    </row>
    <row r="582" spans="1:10" x14ac:dyDescent="0.25">
      <c r="A582" s="186" t="s">
        <v>373</v>
      </c>
      <c r="B582" s="184"/>
      <c r="C582" s="184"/>
      <c r="D582" s="184"/>
      <c r="E582" s="184"/>
      <c r="F582" s="184"/>
      <c r="G582" s="184"/>
      <c r="H582" s="184"/>
      <c r="I582" s="184"/>
      <c r="J582" s="184"/>
    </row>
    <row r="583" spans="1:10" x14ac:dyDescent="0.25">
      <c r="A583" s="184" t="s">
        <v>374</v>
      </c>
      <c r="B583" s="184"/>
      <c r="C583" s="184"/>
      <c r="D583" s="184"/>
      <c r="E583" s="184"/>
      <c r="F583" s="184"/>
      <c r="G583" s="184"/>
      <c r="H583" s="184"/>
      <c r="I583" s="184"/>
      <c r="J583" s="184"/>
    </row>
  </sheetData>
  <mergeCells count="513">
    <mergeCell ref="A579:J579"/>
    <mergeCell ref="A581:I581"/>
    <mergeCell ref="A67:C67"/>
    <mergeCell ref="A68:C68"/>
    <mergeCell ref="A301:C301"/>
    <mergeCell ref="A359:C359"/>
    <mergeCell ref="A467:C467"/>
    <mergeCell ref="A510:C510"/>
    <mergeCell ref="A1:C1"/>
    <mergeCell ref="A2:J2"/>
    <mergeCell ref="A3:J3"/>
    <mergeCell ref="A4:I4"/>
    <mergeCell ref="A5:C5"/>
    <mergeCell ref="A6:C6"/>
    <mergeCell ref="A91:C91"/>
    <mergeCell ref="A13:I13"/>
    <mergeCell ref="A14:C14"/>
    <mergeCell ref="A15:C15"/>
    <mergeCell ref="A16:C16"/>
    <mergeCell ref="A17:C17"/>
    <mergeCell ref="A7:C7"/>
    <mergeCell ref="A8:C8"/>
    <mergeCell ref="A87:C87"/>
    <mergeCell ref="A23:C23"/>
    <mergeCell ref="A112:C112"/>
    <mergeCell ref="A54:C54"/>
    <mergeCell ref="A55:C55"/>
    <mergeCell ref="A42:C42"/>
    <mergeCell ref="A46:C46"/>
    <mergeCell ref="A47:C47"/>
    <mergeCell ref="A56:C56"/>
    <mergeCell ref="A48:C48"/>
    <mergeCell ref="A49:C49"/>
    <mergeCell ref="A50:I50"/>
    <mergeCell ref="A51:C51"/>
    <mergeCell ref="A52:C52"/>
    <mergeCell ref="A65:C65"/>
    <mergeCell ref="A58:C58"/>
    <mergeCell ref="A59:J59"/>
    <mergeCell ref="A60:J60"/>
    <mergeCell ref="A61:J61"/>
    <mergeCell ref="A79:C79"/>
    <mergeCell ref="A80:C80"/>
    <mergeCell ref="A83:C83"/>
    <mergeCell ref="A84:C84"/>
    <mergeCell ref="A81:C81"/>
    <mergeCell ref="A71:C71"/>
    <mergeCell ref="A72:C72"/>
    <mergeCell ref="A32:J32"/>
    <mergeCell ref="A33:C33"/>
    <mergeCell ref="A34:C34"/>
    <mergeCell ref="A35:C35"/>
    <mergeCell ref="A36:C36"/>
    <mergeCell ref="A37:I37"/>
    <mergeCell ref="A31:J31"/>
    <mergeCell ref="A45:C45"/>
    <mergeCell ref="A39:C39"/>
    <mergeCell ref="A40:C40"/>
    <mergeCell ref="A41:I41"/>
    <mergeCell ref="A43:C43"/>
    <mergeCell ref="A44:C44"/>
    <mergeCell ref="A38:C38"/>
    <mergeCell ref="A9:I9"/>
    <mergeCell ref="A10:C10"/>
    <mergeCell ref="A11:C11"/>
    <mergeCell ref="A12:C12"/>
    <mergeCell ref="A25:C25"/>
    <mergeCell ref="A27:C27"/>
    <mergeCell ref="A28:C28"/>
    <mergeCell ref="A29:C29"/>
    <mergeCell ref="A30:J30"/>
    <mergeCell ref="A18:C18"/>
    <mergeCell ref="A22:I22"/>
    <mergeCell ref="A26:C26"/>
    <mergeCell ref="A24:C24"/>
    <mergeCell ref="A76:C76"/>
    <mergeCell ref="A77:C77"/>
    <mergeCell ref="A78:I78"/>
    <mergeCell ref="A73:C73"/>
    <mergeCell ref="A74:C74"/>
    <mergeCell ref="A63:C63"/>
    <mergeCell ref="A64:C64"/>
    <mergeCell ref="A62:C62"/>
    <mergeCell ref="A82:C82"/>
    <mergeCell ref="A66:I66"/>
    <mergeCell ref="A110:C110"/>
    <mergeCell ref="A53:C53"/>
    <mergeCell ref="A113:C113"/>
    <mergeCell ref="A114:C114"/>
    <mergeCell ref="A103:C103"/>
    <mergeCell ref="A107:C107"/>
    <mergeCell ref="A108:C108"/>
    <mergeCell ref="A109:I109"/>
    <mergeCell ref="A95:I95"/>
    <mergeCell ref="A97:C97"/>
    <mergeCell ref="A98:C98"/>
    <mergeCell ref="A99:C99"/>
    <mergeCell ref="A100:I100"/>
    <mergeCell ref="A102:C102"/>
    <mergeCell ref="A101:C101"/>
    <mergeCell ref="A105:C105"/>
    <mergeCell ref="A69:I69"/>
    <mergeCell ref="A70:C70"/>
    <mergeCell ref="A88:J88"/>
    <mergeCell ref="A89:J89"/>
    <mergeCell ref="A90:J90"/>
    <mergeCell ref="A92:C92"/>
    <mergeCell ref="A93:C93"/>
    <mergeCell ref="A94:C94"/>
    <mergeCell ref="A125:C125"/>
    <mergeCell ref="A126:I126"/>
    <mergeCell ref="A127:C127"/>
    <mergeCell ref="A128:C128"/>
    <mergeCell ref="A129:I129"/>
    <mergeCell ref="A118:C118"/>
    <mergeCell ref="A119:J119"/>
    <mergeCell ref="A120:J120"/>
    <mergeCell ref="A121:J121"/>
    <mergeCell ref="A123:C123"/>
    <mergeCell ref="A124:C124"/>
    <mergeCell ref="A122:C122"/>
    <mergeCell ref="A137:C137"/>
    <mergeCell ref="A138:C138"/>
    <mergeCell ref="A139:I139"/>
    <mergeCell ref="A140:C140"/>
    <mergeCell ref="A141:C141"/>
    <mergeCell ref="A142:C142"/>
    <mergeCell ref="A130:C130"/>
    <mergeCell ref="A131:C131"/>
    <mergeCell ref="A132:C132"/>
    <mergeCell ref="A133:C133"/>
    <mergeCell ref="A134:C134"/>
    <mergeCell ref="A148:J148"/>
    <mergeCell ref="A149:J149"/>
    <mergeCell ref="A150:J150"/>
    <mergeCell ref="A152:C152"/>
    <mergeCell ref="A143:C143"/>
    <mergeCell ref="A144:C144"/>
    <mergeCell ref="A145:C145"/>
    <mergeCell ref="A146:C146"/>
    <mergeCell ref="A147:C147"/>
    <mergeCell ref="A151:C151"/>
    <mergeCell ref="A165:C165"/>
    <mergeCell ref="A167:C167"/>
    <mergeCell ref="A168:C168"/>
    <mergeCell ref="A169:I169"/>
    <mergeCell ref="A171:C171"/>
    <mergeCell ref="A154:C154"/>
    <mergeCell ref="A155:I155"/>
    <mergeCell ref="A157:C157"/>
    <mergeCell ref="A158:C158"/>
    <mergeCell ref="A159:I159"/>
    <mergeCell ref="A162:C162"/>
    <mergeCell ref="A163:C163"/>
    <mergeCell ref="A161:C161"/>
    <mergeCell ref="A164:C164"/>
    <mergeCell ref="A170:C170"/>
    <mergeCell ref="A156:C156"/>
    <mergeCell ref="A160:C160"/>
    <mergeCell ref="A178:C178"/>
    <mergeCell ref="A179:J179"/>
    <mergeCell ref="A180:J180"/>
    <mergeCell ref="A181:J181"/>
    <mergeCell ref="A183:C183"/>
    <mergeCell ref="A184:C184"/>
    <mergeCell ref="A172:C172"/>
    <mergeCell ref="A173:C173"/>
    <mergeCell ref="A174:C174"/>
    <mergeCell ref="A175:C175"/>
    <mergeCell ref="A176:C176"/>
    <mergeCell ref="A182:C182"/>
    <mergeCell ref="A191:C191"/>
    <mergeCell ref="A193:C193"/>
    <mergeCell ref="A196:C196"/>
    <mergeCell ref="A197:C197"/>
    <mergeCell ref="A185:C185"/>
    <mergeCell ref="A186:I186"/>
    <mergeCell ref="A187:C187"/>
    <mergeCell ref="A188:C188"/>
    <mergeCell ref="A189:I189"/>
    <mergeCell ref="A190:C190"/>
    <mergeCell ref="A204:C204"/>
    <mergeCell ref="A205:C205"/>
    <mergeCell ref="A206:J206"/>
    <mergeCell ref="A207:J207"/>
    <mergeCell ref="A208:J208"/>
    <mergeCell ref="A198:I198"/>
    <mergeCell ref="A199:C199"/>
    <mergeCell ref="A200:C200"/>
    <mergeCell ref="A202:C202"/>
    <mergeCell ref="A203:C203"/>
    <mergeCell ref="A201:C201"/>
    <mergeCell ref="A215:C215"/>
    <mergeCell ref="A216:I216"/>
    <mergeCell ref="A217:C217"/>
    <mergeCell ref="A218:C218"/>
    <mergeCell ref="A219:C219"/>
    <mergeCell ref="A210:C210"/>
    <mergeCell ref="A209:C209"/>
    <mergeCell ref="A212:C212"/>
    <mergeCell ref="A213:I213"/>
    <mergeCell ref="A214:C214"/>
    <mergeCell ref="A211:C211"/>
    <mergeCell ref="A228:C228"/>
    <mergeCell ref="A231:C231"/>
    <mergeCell ref="A232:C232"/>
    <mergeCell ref="A233:C233"/>
    <mergeCell ref="A234:J234"/>
    <mergeCell ref="A235:J235"/>
    <mergeCell ref="A223:C223"/>
    <mergeCell ref="A224:C224"/>
    <mergeCell ref="A225:I225"/>
    <mergeCell ref="A226:C226"/>
    <mergeCell ref="A227:C227"/>
    <mergeCell ref="A229:C229"/>
    <mergeCell ref="A243:C243"/>
    <mergeCell ref="A244:I244"/>
    <mergeCell ref="A245:C245"/>
    <mergeCell ref="A246:C246"/>
    <mergeCell ref="A247:C247"/>
    <mergeCell ref="A236:J236"/>
    <mergeCell ref="A238:C238"/>
    <mergeCell ref="A239:C239"/>
    <mergeCell ref="A240:C240"/>
    <mergeCell ref="A241:I241"/>
    <mergeCell ref="A254:C254"/>
    <mergeCell ref="A256:C256"/>
    <mergeCell ref="A257:C257"/>
    <mergeCell ref="A258:C258"/>
    <mergeCell ref="A259:C259"/>
    <mergeCell ref="A260:C260"/>
    <mergeCell ref="A248:C248"/>
    <mergeCell ref="A251:C251"/>
    <mergeCell ref="A252:C252"/>
    <mergeCell ref="A253:I253"/>
    <mergeCell ref="A255:C255"/>
    <mergeCell ref="A268:I268"/>
    <mergeCell ref="A269:C269"/>
    <mergeCell ref="A270:C270"/>
    <mergeCell ref="A271:I271"/>
    <mergeCell ref="A261:J261"/>
    <mergeCell ref="A262:J262"/>
    <mergeCell ref="A263:I263"/>
    <mergeCell ref="A265:C265"/>
    <mergeCell ref="A266:C266"/>
    <mergeCell ref="A267:C267"/>
    <mergeCell ref="A264:C264"/>
    <mergeCell ref="A296:I296"/>
    <mergeCell ref="A297:C297"/>
    <mergeCell ref="A283:C283"/>
    <mergeCell ref="A284:C284"/>
    <mergeCell ref="A288:C288"/>
    <mergeCell ref="A289:J289"/>
    <mergeCell ref="A290:J290"/>
    <mergeCell ref="A273:C273"/>
    <mergeCell ref="A277:C277"/>
    <mergeCell ref="A279:J279"/>
    <mergeCell ref="A280:C280"/>
    <mergeCell ref="A281:C281"/>
    <mergeCell ref="A274:C274"/>
    <mergeCell ref="A292:C292"/>
    <mergeCell ref="A291:J291"/>
    <mergeCell ref="A293:C293"/>
    <mergeCell ref="A294:C294"/>
    <mergeCell ref="A295:C295"/>
    <mergeCell ref="A315:C315"/>
    <mergeCell ref="A316:C316"/>
    <mergeCell ref="A317:C317"/>
    <mergeCell ref="A318:J318"/>
    <mergeCell ref="A319:J319"/>
    <mergeCell ref="A320:J320"/>
    <mergeCell ref="A321:C321"/>
    <mergeCell ref="A310:C310"/>
    <mergeCell ref="A312:C312"/>
    <mergeCell ref="A314:C314"/>
    <mergeCell ref="A313:C313"/>
    <mergeCell ref="A328:C328"/>
    <mergeCell ref="A329:I329"/>
    <mergeCell ref="A330:C330"/>
    <mergeCell ref="A331:C331"/>
    <mergeCell ref="A332:C332"/>
    <mergeCell ref="A333:C333"/>
    <mergeCell ref="A322:C322"/>
    <mergeCell ref="A323:C323"/>
    <mergeCell ref="A324:C324"/>
    <mergeCell ref="A325:I325"/>
    <mergeCell ref="A326:C326"/>
    <mergeCell ref="A340:C340"/>
    <mergeCell ref="A341:C341"/>
    <mergeCell ref="A342:C342"/>
    <mergeCell ref="A343:C343"/>
    <mergeCell ref="A344:C344"/>
    <mergeCell ref="A346:C346"/>
    <mergeCell ref="A336:C336"/>
    <mergeCell ref="A337:C337"/>
    <mergeCell ref="A338:I338"/>
    <mergeCell ref="A339:C339"/>
    <mergeCell ref="A357:I357"/>
    <mergeCell ref="A358:C358"/>
    <mergeCell ref="A360:C360"/>
    <mergeCell ref="A361:C361"/>
    <mergeCell ref="A353:C353"/>
    <mergeCell ref="A354:I354"/>
    <mergeCell ref="A355:C355"/>
    <mergeCell ref="A356:C356"/>
    <mergeCell ref="A347:J347"/>
    <mergeCell ref="A348:J348"/>
    <mergeCell ref="A349:J349"/>
    <mergeCell ref="A351:C351"/>
    <mergeCell ref="A352:C352"/>
    <mergeCell ref="A370:C370"/>
    <mergeCell ref="A371:C371"/>
    <mergeCell ref="A372:C372"/>
    <mergeCell ref="A373:C373"/>
    <mergeCell ref="A374:J374"/>
    <mergeCell ref="A364:C364"/>
    <mergeCell ref="A365:C365"/>
    <mergeCell ref="A366:I366"/>
    <mergeCell ref="A367:C367"/>
    <mergeCell ref="A368:C368"/>
    <mergeCell ref="A369:C369"/>
    <mergeCell ref="A381:I381"/>
    <mergeCell ref="A382:C382"/>
    <mergeCell ref="A384:C384"/>
    <mergeCell ref="A385:I385"/>
    <mergeCell ref="A387:C387"/>
    <mergeCell ref="A375:J375"/>
    <mergeCell ref="A376:J376"/>
    <mergeCell ref="A378:C378"/>
    <mergeCell ref="A379:C379"/>
    <mergeCell ref="A380:C380"/>
    <mergeCell ref="A395:C395"/>
    <mergeCell ref="A397:C397"/>
    <mergeCell ref="A398:C398"/>
    <mergeCell ref="A399:C399"/>
    <mergeCell ref="A400:C400"/>
    <mergeCell ref="A402:C402"/>
    <mergeCell ref="A388:C388"/>
    <mergeCell ref="A389:C389"/>
    <mergeCell ref="A392:C392"/>
    <mergeCell ref="A393:C393"/>
    <mergeCell ref="A394:I394"/>
    <mergeCell ref="A410:I410"/>
    <mergeCell ref="A412:C412"/>
    <mergeCell ref="A413:I413"/>
    <mergeCell ref="A414:C414"/>
    <mergeCell ref="A403:J403"/>
    <mergeCell ref="A404:J404"/>
    <mergeCell ref="A405:I405"/>
    <mergeCell ref="A407:C407"/>
    <mergeCell ref="A408:C408"/>
    <mergeCell ref="A409:C409"/>
    <mergeCell ref="A406:C406"/>
    <mergeCell ref="A411:C411"/>
    <mergeCell ref="A427:C427"/>
    <mergeCell ref="A429:C429"/>
    <mergeCell ref="A430:J430"/>
    <mergeCell ref="A415:C415"/>
    <mergeCell ref="A416:C416"/>
    <mergeCell ref="A419:C419"/>
    <mergeCell ref="A421:J421"/>
    <mergeCell ref="A425:C425"/>
    <mergeCell ref="A423:C423"/>
    <mergeCell ref="A426:C426"/>
    <mergeCell ref="A437:I437"/>
    <mergeCell ref="A438:C438"/>
    <mergeCell ref="A439:C439"/>
    <mergeCell ref="A440:I440"/>
    <mergeCell ref="A441:C441"/>
    <mergeCell ref="A442:C442"/>
    <mergeCell ref="A431:J431"/>
    <mergeCell ref="A432:I432"/>
    <mergeCell ref="A434:C434"/>
    <mergeCell ref="A436:C436"/>
    <mergeCell ref="A433:C433"/>
    <mergeCell ref="A450:C450"/>
    <mergeCell ref="A451:C451"/>
    <mergeCell ref="A452:C452"/>
    <mergeCell ref="A453:C453"/>
    <mergeCell ref="A454:C454"/>
    <mergeCell ref="A455:C455"/>
    <mergeCell ref="A443:C443"/>
    <mergeCell ref="A445:C445"/>
    <mergeCell ref="A449:I449"/>
    <mergeCell ref="A444:C444"/>
    <mergeCell ref="A447:C447"/>
    <mergeCell ref="A463:C463"/>
    <mergeCell ref="A464:C464"/>
    <mergeCell ref="A465:I465"/>
    <mergeCell ref="A466:C466"/>
    <mergeCell ref="A468:C468"/>
    <mergeCell ref="A457:C457"/>
    <mergeCell ref="A458:J458"/>
    <mergeCell ref="A459:J459"/>
    <mergeCell ref="A460:J460"/>
    <mergeCell ref="A461:C461"/>
    <mergeCell ref="A462:C462"/>
    <mergeCell ref="A479:C479"/>
    <mergeCell ref="A507:C507"/>
    <mergeCell ref="A480:C480"/>
    <mergeCell ref="A482:C482"/>
    <mergeCell ref="A483:C483"/>
    <mergeCell ref="A469:I469"/>
    <mergeCell ref="A471:C471"/>
    <mergeCell ref="A472:C472"/>
    <mergeCell ref="A476:C476"/>
    <mergeCell ref="A477:C477"/>
    <mergeCell ref="A478:I478"/>
    <mergeCell ref="A493:C493"/>
    <mergeCell ref="A494:C494"/>
    <mergeCell ref="A495:I495"/>
    <mergeCell ref="A496:C496"/>
    <mergeCell ref="A497:C497"/>
    <mergeCell ref="A498:I498"/>
    <mergeCell ref="A484:C484"/>
    <mergeCell ref="A487:C487"/>
    <mergeCell ref="A488:J488"/>
    <mergeCell ref="A489:J489"/>
    <mergeCell ref="A470:C470"/>
    <mergeCell ref="A481:C481"/>
    <mergeCell ref="A506:I506"/>
    <mergeCell ref="A508:C508"/>
    <mergeCell ref="A509:C509"/>
    <mergeCell ref="A499:C499"/>
    <mergeCell ref="A500:C500"/>
    <mergeCell ref="A501:C501"/>
    <mergeCell ref="A504:C504"/>
    <mergeCell ref="A491:C491"/>
    <mergeCell ref="A502:C502"/>
    <mergeCell ref="A573:C573"/>
    <mergeCell ref="A561:C561"/>
    <mergeCell ref="A564:C564"/>
    <mergeCell ref="A565:C565"/>
    <mergeCell ref="A566:I566"/>
    <mergeCell ref="A567:C567"/>
    <mergeCell ref="A554:C554"/>
    <mergeCell ref="A556:C556"/>
    <mergeCell ref="A557:I557"/>
    <mergeCell ref="A558:C558"/>
    <mergeCell ref="A559:C559"/>
    <mergeCell ref="A560:C560"/>
    <mergeCell ref="A555:C555"/>
    <mergeCell ref="A568:C568"/>
    <mergeCell ref="A569:C569"/>
    <mergeCell ref="A570:C570"/>
    <mergeCell ref="A572:C572"/>
    <mergeCell ref="A550:C550"/>
    <mergeCell ref="A551:C551"/>
    <mergeCell ref="A552:C552"/>
    <mergeCell ref="A553:I553"/>
    <mergeCell ref="A539:C539"/>
    <mergeCell ref="A540:C540"/>
    <mergeCell ref="A541:C541"/>
    <mergeCell ref="A545:C545"/>
    <mergeCell ref="A546:J546"/>
    <mergeCell ref="A153:C153"/>
    <mergeCell ref="A534:C534"/>
    <mergeCell ref="A525:C525"/>
    <mergeCell ref="A526:I526"/>
    <mergeCell ref="A527:C527"/>
    <mergeCell ref="A528:C528"/>
    <mergeCell ref="A529:C529"/>
    <mergeCell ref="A530:C530"/>
    <mergeCell ref="A517:J517"/>
    <mergeCell ref="A519:C519"/>
    <mergeCell ref="A520:C520"/>
    <mergeCell ref="A521:C521"/>
    <mergeCell ref="A522:I522"/>
    <mergeCell ref="A523:C523"/>
    <mergeCell ref="A511:C511"/>
    <mergeCell ref="A512:C512"/>
    <mergeCell ref="A513:C513"/>
    <mergeCell ref="A221:C221"/>
    <mergeCell ref="A230:C230"/>
    <mergeCell ref="A237:C237"/>
    <mergeCell ref="A242:C242"/>
    <mergeCell ref="A249:C249"/>
    <mergeCell ref="A272:C272"/>
    <mergeCell ref="A275:C275"/>
    <mergeCell ref="A303:C303"/>
    <mergeCell ref="A304:C304"/>
    <mergeCell ref="A306:C306"/>
    <mergeCell ref="A307:C307"/>
    <mergeCell ref="A308:C308"/>
    <mergeCell ref="A309:I309"/>
    <mergeCell ref="A298:C298"/>
    <mergeCell ref="A299:I299"/>
    <mergeCell ref="A300:C300"/>
    <mergeCell ref="A302:C302"/>
    <mergeCell ref="A518:C518"/>
    <mergeCell ref="A524:C524"/>
    <mergeCell ref="A532:C532"/>
    <mergeCell ref="A549:C549"/>
    <mergeCell ref="A327:C327"/>
    <mergeCell ref="A350:C350"/>
    <mergeCell ref="A362:C362"/>
    <mergeCell ref="A377:C377"/>
    <mergeCell ref="A383:C383"/>
    <mergeCell ref="A386:C386"/>
    <mergeCell ref="A390:C390"/>
    <mergeCell ref="A424:C424"/>
    <mergeCell ref="A535:C535"/>
    <mergeCell ref="A536:I536"/>
    <mergeCell ref="A537:C537"/>
    <mergeCell ref="A547:J547"/>
    <mergeCell ref="A548:J548"/>
    <mergeCell ref="A514:C514"/>
    <mergeCell ref="A515:J515"/>
    <mergeCell ref="A516:J516"/>
    <mergeCell ref="A490:J490"/>
    <mergeCell ref="A492:C492"/>
    <mergeCell ref="A505:C505"/>
    <mergeCell ref="A435:C435"/>
  </mergeCells>
  <pageMargins left="0.38342696629213485" right="0.7" top="5.9027777777777776E-2" bottom="0.76666666666666672" header="0.3" footer="0.3"/>
  <pageSetup paperSize="9" scale="99" fitToHeight="0" orientation="landscape" r:id="rId1"/>
  <rowBreaks count="20" manualBreakCount="20">
    <brk id="28" max="16383" man="1"/>
    <brk id="57" max="16383" man="1"/>
    <brk id="85" max="16383" man="1"/>
    <brk id="117" max="16383" man="1"/>
    <brk id="146" max="16383" man="1"/>
    <brk id="176" max="16383" man="1"/>
    <brk id="204" max="16383" man="1"/>
    <brk id="232" max="16383" man="1"/>
    <brk id="259" max="16383" man="1"/>
    <brk id="285" max="16383" man="1"/>
    <brk id="316" max="16383" man="1"/>
    <brk id="345" max="16383" man="1"/>
    <brk id="372" max="16383" man="1"/>
    <brk id="400" max="16383" man="1"/>
    <brk id="428" max="16383" man="1"/>
    <brk id="456" max="16383" man="1"/>
    <brk id="486" max="16383" man="1"/>
    <brk id="513" max="16383" man="1"/>
    <brk id="544" max="16383" man="1"/>
    <brk id="57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topLeftCell="A59" zoomScaleNormal="82" zoomScaleSheetLayoutView="100" zoomScalePageLayoutView="41" workbookViewId="0">
      <selection activeCell="A95" sqref="A95:C95"/>
    </sheetView>
  </sheetViews>
  <sheetFormatPr defaultColWidth="8.85546875" defaultRowHeight="15" x14ac:dyDescent="0.25"/>
  <cols>
    <col min="1" max="2" width="8.85546875" style="168"/>
    <col min="3" max="3" width="26" style="168" customWidth="1"/>
    <col min="4" max="4" width="10.7109375" style="168" customWidth="1"/>
    <col min="5" max="5" width="12.7109375" style="168" customWidth="1"/>
    <col min="6" max="6" width="11.5703125" style="168" customWidth="1"/>
    <col min="7" max="7" width="9.28515625" style="168" customWidth="1"/>
    <col min="8" max="8" width="11.42578125" style="168" customWidth="1"/>
    <col min="9" max="9" width="18.28515625" style="188" customWidth="1"/>
    <col min="10" max="10" width="11.5703125" style="168" customWidth="1"/>
    <col min="11" max="11" width="11.140625" style="168" customWidth="1"/>
    <col min="12" max="16384" width="8.85546875" style="168"/>
  </cols>
  <sheetData>
    <row r="1" spans="1:10" ht="37.5" customHeight="1" x14ac:dyDescent="0.25">
      <c r="A1" s="269" t="s">
        <v>0</v>
      </c>
      <c r="B1" s="269"/>
      <c r="C1" s="269"/>
      <c r="D1" s="6" t="s">
        <v>1</v>
      </c>
      <c r="E1" s="6" t="s">
        <v>2</v>
      </c>
      <c r="F1" s="133" t="s">
        <v>3</v>
      </c>
      <c r="G1" s="133" t="s">
        <v>4</v>
      </c>
      <c r="H1" s="133" t="s">
        <v>28</v>
      </c>
      <c r="I1" s="157" t="s">
        <v>75</v>
      </c>
      <c r="J1" s="6" t="s">
        <v>76</v>
      </c>
    </row>
    <row r="2" spans="1:10" x14ac:dyDescent="0.25">
      <c r="A2" s="268" t="s">
        <v>5</v>
      </c>
      <c r="B2" s="268"/>
      <c r="C2" s="268"/>
      <c r="D2" s="268"/>
      <c r="E2" s="268"/>
      <c r="F2" s="268"/>
      <c r="G2" s="268"/>
      <c r="H2" s="268"/>
      <c r="I2" s="268"/>
      <c r="J2" s="268"/>
    </row>
    <row r="3" spans="1:10" x14ac:dyDescent="0.25">
      <c r="A3" s="268" t="s">
        <v>6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x14ac:dyDescent="0.25">
      <c r="A4" s="268" t="s">
        <v>9</v>
      </c>
      <c r="B4" s="268"/>
      <c r="C4" s="268"/>
      <c r="D4" s="268"/>
      <c r="E4" s="268"/>
      <c r="F4" s="268"/>
      <c r="G4" s="268"/>
      <c r="H4" s="268"/>
      <c r="I4" s="268"/>
      <c r="J4" s="8"/>
    </row>
    <row r="5" spans="1:10" x14ac:dyDescent="0.25">
      <c r="A5" s="280" t="s">
        <v>27</v>
      </c>
      <c r="B5" s="280"/>
      <c r="C5" s="280"/>
      <c r="D5" s="10">
        <v>180</v>
      </c>
      <c r="E5" s="10" t="s">
        <v>30</v>
      </c>
      <c r="F5" s="11">
        <v>5.24</v>
      </c>
      <c r="G5" s="11">
        <v>4.6500000000000004</v>
      </c>
      <c r="H5" s="11">
        <v>18.02</v>
      </c>
      <c r="I5" s="11">
        <v>135.76</v>
      </c>
      <c r="J5" s="25">
        <v>1.64</v>
      </c>
    </row>
    <row r="6" spans="1:10" x14ac:dyDescent="0.25">
      <c r="A6" s="252" t="s">
        <v>73</v>
      </c>
      <c r="B6" s="252"/>
      <c r="C6" s="252"/>
      <c r="D6" s="12">
        <v>150</v>
      </c>
      <c r="E6" s="10" t="s">
        <v>199</v>
      </c>
      <c r="F6" s="25">
        <v>0</v>
      </c>
      <c r="G6" s="25">
        <v>0</v>
      </c>
      <c r="H6" s="25">
        <v>7.98</v>
      </c>
      <c r="I6" s="29">
        <v>31.94</v>
      </c>
      <c r="J6" s="25">
        <v>0</v>
      </c>
    </row>
    <row r="7" spans="1:10" x14ac:dyDescent="0.25">
      <c r="A7" s="294" t="s">
        <v>282</v>
      </c>
      <c r="B7" s="294"/>
      <c r="C7" s="294"/>
      <c r="D7" s="135" t="s">
        <v>344</v>
      </c>
      <c r="E7" s="10" t="s">
        <v>345</v>
      </c>
      <c r="F7" s="13">
        <v>1.53</v>
      </c>
      <c r="G7" s="13">
        <v>3.48</v>
      </c>
      <c r="H7" s="13">
        <v>10.15</v>
      </c>
      <c r="I7" s="11">
        <v>79.040000000000006</v>
      </c>
      <c r="J7" s="25">
        <v>0</v>
      </c>
    </row>
    <row r="8" spans="1:10" x14ac:dyDescent="0.25">
      <c r="A8" s="243" t="s">
        <v>12</v>
      </c>
      <c r="B8" s="244"/>
      <c r="C8" s="245"/>
      <c r="D8" s="6">
        <f>D5+D6+25+5</f>
        <v>360</v>
      </c>
      <c r="E8" s="10"/>
      <c r="F8" s="133">
        <f>SUM(F5:F7)</f>
        <v>6.7700000000000005</v>
      </c>
      <c r="G8" s="133">
        <f>SUM(G5:G7)</f>
        <v>8.1300000000000008</v>
      </c>
      <c r="H8" s="133">
        <f>SUM(H5:H7)</f>
        <v>36.15</v>
      </c>
      <c r="I8" s="9">
        <f>SUM(I5:I7)</f>
        <v>246.74</v>
      </c>
      <c r="J8" s="133">
        <f>SUM(J5:J7)</f>
        <v>1.64</v>
      </c>
    </row>
    <row r="9" spans="1:10" x14ac:dyDescent="0.25">
      <c r="A9" s="268" t="s">
        <v>8</v>
      </c>
      <c r="B9" s="268"/>
      <c r="C9" s="268"/>
      <c r="D9" s="268"/>
      <c r="E9" s="268"/>
      <c r="F9" s="268"/>
      <c r="G9" s="268"/>
      <c r="H9" s="268"/>
      <c r="I9" s="268"/>
      <c r="J9" s="8"/>
    </row>
    <row r="10" spans="1:10" ht="15" customHeight="1" x14ac:dyDescent="0.25">
      <c r="A10" s="249" t="s">
        <v>61</v>
      </c>
      <c r="B10" s="250"/>
      <c r="C10" s="251"/>
      <c r="D10" s="24">
        <v>180</v>
      </c>
      <c r="E10" s="24" t="s">
        <v>245</v>
      </c>
      <c r="F10" s="25">
        <v>0.9</v>
      </c>
      <c r="G10" s="25">
        <v>0.18</v>
      </c>
      <c r="H10" s="25">
        <v>18.18</v>
      </c>
      <c r="I10" s="25">
        <v>77.94</v>
      </c>
      <c r="J10" s="25">
        <v>3.6</v>
      </c>
    </row>
    <row r="11" spans="1:10" x14ac:dyDescent="0.25">
      <c r="A11" s="243" t="s">
        <v>12</v>
      </c>
      <c r="B11" s="244"/>
      <c r="C11" s="245"/>
      <c r="D11" s="6">
        <f>SUM(D10)</f>
        <v>180</v>
      </c>
      <c r="E11" s="10"/>
      <c r="F11" s="133">
        <f>SUM(F10:F10)</f>
        <v>0.9</v>
      </c>
      <c r="G11" s="133">
        <f>SUM(G10:G10)</f>
        <v>0.18</v>
      </c>
      <c r="H11" s="133">
        <f>SUM(H10:H10)</f>
        <v>18.18</v>
      </c>
      <c r="I11" s="9">
        <f>SUM(I10:I10)</f>
        <v>77.94</v>
      </c>
      <c r="J11" s="133">
        <f>SUM(J10:J10)</f>
        <v>3.6</v>
      </c>
    </row>
    <row r="12" spans="1:10" x14ac:dyDescent="0.25">
      <c r="A12" s="268" t="s">
        <v>11</v>
      </c>
      <c r="B12" s="268"/>
      <c r="C12" s="268"/>
      <c r="D12" s="268"/>
      <c r="E12" s="268"/>
      <c r="F12" s="268"/>
      <c r="G12" s="268"/>
      <c r="H12" s="268"/>
      <c r="I12" s="268"/>
      <c r="J12" s="8"/>
    </row>
    <row r="13" spans="1:10" ht="25.9" customHeight="1" x14ac:dyDescent="0.25">
      <c r="A13" s="301" t="s">
        <v>283</v>
      </c>
      <c r="B13" s="302"/>
      <c r="C13" s="303"/>
      <c r="D13" s="33">
        <v>45</v>
      </c>
      <c r="E13" s="33">
        <v>14.2005</v>
      </c>
      <c r="F13" s="33">
        <v>0.5</v>
      </c>
      <c r="G13" s="33">
        <v>3.4</v>
      </c>
      <c r="H13" s="33">
        <v>1.7</v>
      </c>
      <c r="I13" s="33">
        <v>36</v>
      </c>
      <c r="J13" s="14">
        <v>17</v>
      </c>
    </row>
    <row r="14" spans="1:10" ht="24.75" customHeight="1" x14ac:dyDescent="0.25">
      <c r="A14" s="298" t="s">
        <v>221</v>
      </c>
      <c r="B14" s="299"/>
      <c r="C14" s="300"/>
      <c r="D14" s="10">
        <v>45</v>
      </c>
      <c r="E14" s="10">
        <v>21.200500000000002</v>
      </c>
      <c r="F14" s="13">
        <v>0.6</v>
      </c>
      <c r="G14" s="13">
        <v>2.25</v>
      </c>
      <c r="H14" s="13">
        <v>3.28</v>
      </c>
      <c r="I14" s="11">
        <v>35.75</v>
      </c>
      <c r="J14" s="10">
        <v>4.01</v>
      </c>
    </row>
    <row r="15" spans="1:10" ht="27.6" customHeight="1" x14ac:dyDescent="0.25">
      <c r="A15" s="270" t="s">
        <v>318</v>
      </c>
      <c r="B15" s="270"/>
      <c r="C15" s="270"/>
      <c r="D15" s="12">
        <v>200</v>
      </c>
      <c r="E15" s="10" t="s">
        <v>280</v>
      </c>
      <c r="F15" s="13">
        <v>5.23</v>
      </c>
      <c r="G15" s="13">
        <v>5.19</v>
      </c>
      <c r="H15" s="13">
        <v>13.95</v>
      </c>
      <c r="I15" s="11">
        <v>123.38</v>
      </c>
      <c r="J15" s="10">
        <v>13.2</v>
      </c>
    </row>
    <row r="16" spans="1:10" x14ac:dyDescent="0.25">
      <c r="A16" s="249" t="s">
        <v>284</v>
      </c>
      <c r="B16" s="250"/>
      <c r="C16" s="251"/>
      <c r="D16" s="10">
        <v>150</v>
      </c>
      <c r="E16" s="10">
        <v>166</v>
      </c>
      <c r="F16" s="25">
        <v>13.24</v>
      </c>
      <c r="G16" s="25">
        <v>14.21</v>
      </c>
      <c r="H16" s="25">
        <v>18.77</v>
      </c>
      <c r="I16" s="29">
        <v>257.14999999999998</v>
      </c>
      <c r="J16" s="25">
        <v>81</v>
      </c>
    </row>
    <row r="17" spans="1:10" ht="15.6" customHeight="1" x14ac:dyDescent="0.25">
      <c r="A17" s="250" t="s">
        <v>249</v>
      </c>
      <c r="B17" s="250"/>
      <c r="C17" s="251"/>
      <c r="D17" s="10">
        <v>150</v>
      </c>
      <c r="E17" s="24">
        <v>241.05</v>
      </c>
      <c r="F17" s="13">
        <v>0.12</v>
      </c>
      <c r="G17" s="13">
        <v>0.12</v>
      </c>
      <c r="H17" s="13">
        <v>12.92</v>
      </c>
      <c r="I17" s="11">
        <v>53.24</v>
      </c>
      <c r="J17" s="6">
        <v>3</v>
      </c>
    </row>
    <row r="18" spans="1:10" x14ac:dyDescent="0.25">
      <c r="A18" s="136" t="s">
        <v>23</v>
      </c>
      <c r="B18" s="137"/>
      <c r="C18" s="138"/>
      <c r="D18" s="10">
        <v>36</v>
      </c>
      <c r="E18" s="10" t="s">
        <v>80</v>
      </c>
      <c r="F18" s="13">
        <v>2.2000000000000002</v>
      </c>
      <c r="G18" s="13">
        <v>0.43</v>
      </c>
      <c r="H18" s="13">
        <v>14.36</v>
      </c>
      <c r="I18" s="11">
        <v>70</v>
      </c>
      <c r="J18" s="25">
        <v>0</v>
      </c>
    </row>
    <row r="19" spans="1:10" x14ac:dyDescent="0.25">
      <c r="A19" s="136" t="s">
        <v>13</v>
      </c>
      <c r="B19" s="137"/>
      <c r="C19" s="179"/>
      <c r="D19" s="10">
        <v>15</v>
      </c>
      <c r="E19" s="10" t="s">
        <v>79</v>
      </c>
      <c r="F19" s="13">
        <v>1.1399999999999999</v>
      </c>
      <c r="G19" s="13">
        <v>0.12</v>
      </c>
      <c r="H19" s="13">
        <v>7.38</v>
      </c>
      <c r="I19" s="11">
        <v>35.159999999999997</v>
      </c>
      <c r="J19" s="25">
        <v>0</v>
      </c>
    </row>
    <row r="20" spans="1:10" x14ac:dyDescent="0.25">
      <c r="A20" s="178" t="s">
        <v>12</v>
      </c>
      <c r="B20" s="17"/>
      <c r="C20" s="180"/>
      <c r="D20" s="6">
        <f>SUM(D14:D19)</f>
        <v>596</v>
      </c>
      <c r="E20" s="10"/>
      <c r="F20" s="133">
        <f>SUM(F14:F19)</f>
        <v>22.53</v>
      </c>
      <c r="G20" s="133">
        <f>SUM(G14:G19)</f>
        <v>22.320000000000004</v>
      </c>
      <c r="H20" s="133">
        <f>SUM(H14:H19)</f>
        <v>70.66</v>
      </c>
      <c r="I20" s="9">
        <f>SUM(I14:I19)</f>
        <v>574.67999999999995</v>
      </c>
      <c r="J20" s="133">
        <f>SUM(J14:J19)</f>
        <v>101.21000000000001</v>
      </c>
    </row>
    <row r="21" spans="1:10" ht="12" customHeight="1" x14ac:dyDescent="0.25">
      <c r="A21" s="268" t="s">
        <v>37</v>
      </c>
      <c r="B21" s="268"/>
      <c r="C21" s="268"/>
      <c r="D21" s="268"/>
      <c r="E21" s="268"/>
      <c r="F21" s="268"/>
      <c r="G21" s="268"/>
      <c r="H21" s="268"/>
      <c r="I21" s="268"/>
      <c r="J21" s="8"/>
    </row>
    <row r="22" spans="1:10" ht="15" customHeight="1" x14ac:dyDescent="0.25">
      <c r="A22" s="240" t="s">
        <v>70</v>
      </c>
      <c r="B22" s="241"/>
      <c r="C22" s="242"/>
      <c r="D22" s="32">
        <v>160</v>
      </c>
      <c r="E22" s="24">
        <v>110.20050000000001</v>
      </c>
      <c r="F22" s="25">
        <v>16.88</v>
      </c>
      <c r="G22" s="25">
        <v>20.69</v>
      </c>
      <c r="H22" s="25">
        <v>3.16</v>
      </c>
      <c r="I22" s="25">
        <v>266.61</v>
      </c>
      <c r="J22" s="25">
        <v>0.6</v>
      </c>
    </row>
    <row r="23" spans="1:10" ht="15" customHeight="1" x14ac:dyDescent="0.25">
      <c r="A23" s="249" t="s">
        <v>273</v>
      </c>
      <c r="B23" s="250"/>
      <c r="C23" s="251"/>
      <c r="D23" s="10">
        <v>75</v>
      </c>
      <c r="E23" s="10"/>
      <c r="F23" s="25">
        <v>0.3</v>
      </c>
      <c r="G23" s="25">
        <v>0.3</v>
      </c>
      <c r="H23" s="25">
        <v>7.35</v>
      </c>
      <c r="I23" s="29">
        <v>33.299999999999997</v>
      </c>
      <c r="J23" s="25">
        <v>7.5</v>
      </c>
    </row>
    <row r="24" spans="1:10" ht="15" customHeight="1" x14ac:dyDescent="0.25">
      <c r="A24" s="249" t="s">
        <v>13</v>
      </c>
      <c r="B24" s="250"/>
      <c r="C24" s="251"/>
      <c r="D24" s="10">
        <v>15</v>
      </c>
      <c r="E24" s="10" t="s">
        <v>81</v>
      </c>
      <c r="F24" s="13">
        <v>1.1399999999999999</v>
      </c>
      <c r="G24" s="13">
        <v>0.12</v>
      </c>
      <c r="H24" s="13">
        <v>7.38</v>
      </c>
      <c r="I24" s="11">
        <v>35.159999999999997</v>
      </c>
      <c r="J24" s="25">
        <v>0</v>
      </c>
    </row>
    <row r="25" spans="1:10" x14ac:dyDescent="0.25">
      <c r="A25" s="249" t="s">
        <v>285</v>
      </c>
      <c r="B25" s="250"/>
      <c r="C25" s="251"/>
      <c r="D25" s="10" t="s">
        <v>266</v>
      </c>
      <c r="E25" s="10">
        <v>251</v>
      </c>
      <c r="F25" s="13">
        <v>4.5199999999999996</v>
      </c>
      <c r="G25" s="13">
        <v>4.99</v>
      </c>
      <c r="H25" s="13">
        <f>6.24+2.99</f>
        <v>9.23</v>
      </c>
      <c r="I25" s="11">
        <f>87.98+11.98</f>
        <v>99.960000000000008</v>
      </c>
      <c r="J25" s="8">
        <v>1.0900000000000001</v>
      </c>
    </row>
    <row r="26" spans="1:10" ht="21.75" customHeight="1" x14ac:dyDescent="0.25">
      <c r="A26" s="243" t="s">
        <v>12</v>
      </c>
      <c r="B26" s="244"/>
      <c r="C26" s="245"/>
      <c r="D26" s="6">
        <f>D22+D23+D24+153</f>
        <v>403</v>
      </c>
      <c r="E26" s="6"/>
      <c r="F26" s="133">
        <f>SUM(F22:F25)</f>
        <v>22.84</v>
      </c>
      <c r="G26" s="133">
        <f>SUM(G22:G25)</f>
        <v>26.1</v>
      </c>
      <c r="H26" s="133">
        <f>SUM(H22:H25)</f>
        <v>27.12</v>
      </c>
      <c r="I26" s="9">
        <f>SUM(I22:I25)</f>
        <v>435.03000000000009</v>
      </c>
      <c r="J26" s="133">
        <f>SUM(J22:J25)</f>
        <v>9.19</v>
      </c>
    </row>
    <row r="27" spans="1:10" ht="17.25" customHeight="1" x14ac:dyDescent="0.25">
      <c r="A27" s="243" t="s">
        <v>14</v>
      </c>
      <c r="B27" s="244"/>
      <c r="C27" s="245"/>
      <c r="D27" s="6"/>
      <c r="E27" s="6"/>
      <c r="F27" s="133">
        <f>F8+F11+F20+F26</f>
        <v>53.040000000000006</v>
      </c>
      <c r="G27" s="133">
        <f>G8+G11+G20+G26</f>
        <v>56.730000000000004</v>
      </c>
      <c r="H27" s="133">
        <f>H8+H11+H20+H26</f>
        <v>152.10999999999999</v>
      </c>
      <c r="I27" s="133">
        <f>I8+I11+I20+I26</f>
        <v>1334.3899999999999</v>
      </c>
      <c r="J27" s="133">
        <f>J8+J11+J20+J26</f>
        <v>115.64</v>
      </c>
    </row>
    <row r="28" spans="1:10" ht="48" customHeight="1" x14ac:dyDescent="0.25">
      <c r="A28" s="269" t="s">
        <v>0</v>
      </c>
      <c r="B28" s="269"/>
      <c r="C28" s="269"/>
      <c r="D28" s="6" t="s">
        <v>1</v>
      </c>
      <c r="E28" s="6" t="s">
        <v>2</v>
      </c>
      <c r="F28" s="133" t="s">
        <v>3</v>
      </c>
      <c r="G28" s="133" t="s">
        <v>4</v>
      </c>
      <c r="H28" s="133" t="s">
        <v>28</v>
      </c>
      <c r="I28" s="157" t="s">
        <v>75</v>
      </c>
      <c r="J28" s="140" t="s">
        <v>83</v>
      </c>
    </row>
    <row r="29" spans="1:10" x14ac:dyDescent="0.25">
      <c r="A29" s="269" t="s">
        <v>5</v>
      </c>
      <c r="B29" s="269"/>
      <c r="C29" s="269"/>
      <c r="D29" s="269"/>
      <c r="E29" s="269"/>
      <c r="F29" s="269"/>
      <c r="G29" s="269"/>
      <c r="H29" s="269"/>
      <c r="I29" s="269"/>
      <c r="J29" s="269"/>
    </row>
    <row r="30" spans="1:10" x14ac:dyDescent="0.25">
      <c r="A30" s="269" t="s">
        <v>15</v>
      </c>
      <c r="B30" s="269"/>
      <c r="C30" s="269"/>
      <c r="D30" s="269"/>
      <c r="E30" s="269"/>
      <c r="F30" s="269"/>
      <c r="G30" s="269"/>
      <c r="H30" s="269"/>
      <c r="I30" s="269"/>
      <c r="J30" s="269"/>
    </row>
    <row r="31" spans="1:10" x14ac:dyDescent="0.25">
      <c r="A31" s="269" t="s">
        <v>9</v>
      </c>
      <c r="B31" s="269"/>
      <c r="C31" s="269"/>
      <c r="D31" s="269"/>
      <c r="E31" s="269"/>
      <c r="F31" s="269"/>
      <c r="G31" s="269"/>
      <c r="H31" s="269"/>
      <c r="I31" s="269"/>
      <c r="J31" s="269"/>
    </row>
    <row r="32" spans="1:10" ht="25.9" customHeight="1" x14ac:dyDescent="0.25">
      <c r="A32" s="298" t="s">
        <v>316</v>
      </c>
      <c r="B32" s="299"/>
      <c r="C32" s="300"/>
      <c r="D32" s="135" t="s">
        <v>260</v>
      </c>
      <c r="E32" s="10" t="s">
        <v>144</v>
      </c>
      <c r="F32" s="13">
        <v>3.51</v>
      </c>
      <c r="G32" s="13">
        <v>6.21</v>
      </c>
      <c r="H32" s="13">
        <v>10.17</v>
      </c>
      <c r="I32" s="11">
        <v>111.5</v>
      </c>
      <c r="J32" s="14">
        <v>0.05</v>
      </c>
    </row>
    <row r="33" spans="1:10" x14ac:dyDescent="0.25">
      <c r="A33" s="280" t="s">
        <v>180</v>
      </c>
      <c r="B33" s="280"/>
      <c r="C33" s="280"/>
      <c r="D33" s="10" t="s">
        <v>69</v>
      </c>
      <c r="E33" s="10">
        <v>91.200500000000005</v>
      </c>
      <c r="F33" s="13">
        <v>4</v>
      </c>
      <c r="G33" s="13">
        <v>5.13</v>
      </c>
      <c r="H33" s="13">
        <v>21.81</v>
      </c>
      <c r="I33" s="11">
        <v>149.94</v>
      </c>
      <c r="J33" s="10">
        <v>1.03</v>
      </c>
    </row>
    <row r="34" spans="1:10" x14ac:dyDescent="0.25">
      <c r="A34" s="249" t="s">
        <v>151</v>
      </c>
      <c r="B34" s="250"/>
      <c r="C34" s="251"/>
      <c r="D34" s="10">
        <v>180</v>
      </c>
      <c r="E34" s="10" t="s">
        <v>248</v>
      </c>
      <c r="F34" s="11">
        <v>5.22</v>
      </c>
      <c r="G34" s="11">
        <v>4.5</v>
      </c>
      <c r="H34" s="11">
        <v>21.63</v>
      </c>
      <c r="I34" s="11">
        <v>149.16999999999999</v>
      </c>
      <c r="J34" s="10">
        <v>2.34</v>
      </c>
    </row>
    <row r="35" spans="1:10" ht="15" customHeight="1" x14ac:dyDescent="0.25">
      <c r="A35" s="243" t="s">
        <v>12</v>
      </c>
      <c r="B35" s="244"/>
      <c r="C35" s="245"/>
      <c r="D35" s="10">
        <f>20+5+7.5+154+D34</f>
        <v>366.5</v>
      </c>
      <c r="E35" s="10"/>
      <c r="F35" s="133">
        <f>SUM(F32:F34)</f>
        <v>12.73</v>
      </c>
      <c r="G35" s="133">
        <f>SUM(G32:G34)</f>
        <v>15.84</v>
      </c>
      <c r="H35" s="133">
        <f>SUM(H32:H34)</f>
        <v>53.61</v>
      </c>
      <c r="I35" s="9">
        <f>SUM(I32:I34)</f>
        <v>410.61</v>
      </c>
      <c r="J35" s="6">
        <f>SUM(J32:J34)</f>
        <v>3.42</v>
      </c>
    </row>
    <row r="36" spans="1:10" x14ac:dyDescent="0.25">
      <c r="A36" s="269" t="s">
        <v>8</v>
      </c>
      <c r="B36" s="269"/>
      <c r="C36" s="269"/>
      <c r="D36" s="269"/>
      <c r="E36" s="269"/>
      <c r="F36" s="269"/>
      <c r="G36" s="269"/>
      <c r="H36" s="269"/>
      <c r="I36" s="269"/>
      <c r="J36" s="6"/>
    </row>
    <row r="37" spans="1:10" ht="17.25" customHeight="1" x14ac:dyDescent="0.25">
      <c r="A37" s="249" t="s">
        <v>38</v>
      </c>
      <c r="B37" s="250"/>
      <c r="C37" s="251"/>
      <c r="D37" s="10">
        <v>10</v>
      </c>
      <c r="E37" s="10" t="s">
        <v>85</v>
      </c>
      <c r="F37" s="13">
        <v>0.77</v>
      </c>
      <c r="G37" s="13">
        <v>1.1000000000000001</v>
      </c>
      <c r="H37" s="13">
        <v>7.1</v>
      </c>
      <c r="I37" s="11">
        <v>41.41</v>
      </c>
      <c r="J37" s="6">
        <v>0</v>
      </c>
    </row>
    <row r="38" spans="1:10" x14ac:dyDescent="0.25">
      <c r="A38" s="249" t="s">
        <v>61</v>
      </c>
      <c r="B38" s="250"/>
      <c r="C38" s="251"/>
      <c r="D38" s="24">
        <v>180</v>
      </c>
      <c r="E38" s="24" t="s">
        <v>245</v>
      </c>
      <c r="F38" s="25">
        <v>0.9</v>
      </c>
      <c r="G38" s="25">
        <v>0.18</v>
      </c>
      <c r="H38" s="25">
        <v>18.18</v>
      </c>
      <c r="I38" s="25">
        <v>77.94</v>
      </c>
      <c r="J38" s="25">
        <v>3.6</v>
      </c>
    </row>
    <row r="39" spans="1:10" x14ac:dyDescent="0.25">
      <c r="A39" s="243" t="s">
        <v>12</v>
      </c>
      <c r="B39" s="244"/>
      <c r="C39" s="245"/>
      <c r="D39" s="6">
        <f>SUM(D37:D38)</f>
        <v>190</v>
      </c>
      <c r="E39" s="10"/>
      <c r="F39" s="133">
        <f>SUM(F37:F38)</f>
        <v>1.67</v>
      </c>
      <c r="G39" s="133">
        <f>SUM(G37:G38)</f>
        <v>1.28</v>
      </c>
      <c r="H39" s="133">
        <f>SUM(H37:H38)</f>
        <v>25.28</v>
      </c>
      <c r="I39" s="9">
        <f>SUM(I37:I38)</f>
        <v>119.35</v>
      </c>
      <c r="J39" s="133">
        <f>SUM(J37:J38)</f>
        <v>3.6</v>
      </c>
    </row>
    <row r="40" spans="1:10" x14ac:dyDescent="0.25">
      <c r="A40" s="269" t="s">
        <v>11</v>
      </c>
      <c r="B40" s="269"/>
      <c r="C40" s="269"/>
      <c r="D40" s="269"/>
      <c r="E40" s="269"/>
      <c r="F40" s="269"/>
      <c r="G40" s="269"/>
      <c r="H40" s="269"/>
      <c r="I40" s="269"/>
      <c r="J40" s="6"/>
    </row>
    <row r="41" spans="1:10" x14ac:dyDescent="0.25">
      <c r="A41" s="249" t="s">
        <v>319</v>
      </c>
      <c r="B41" s="250"/>
      <c r="C41" s="251"/>
      <c r="D41" s="24">
        <v>45</v>
      </c>
      <c r="E41" s="24">
        <v>10.050000000000001</v>
      </c>
      <c r="F41" s="24">
        <v>0.51</v>
      </c>
      <c r="G41" s="24">
        <v>3.04</v>
      </c>
      <c r="H41" s="24">
        <v>6.38</v>
      </c>
      <c r="I41" s="24">
        <v>54.88</v>
      </c>
      <c r="J41" s="10">
        <v>1.95</v>
      </c>
    </row>
    <row r="42" spans="1:10" ht="13.9" customHeight="1" x14ac:dyDescent="0.25">
      <c r="A42" s="327" t="s">
        <v>204</v>
      </c>
      <c r="B42" s="327"/>
      <c r="C42" s="327"/>
      <c r="D42" s="139" t="s">
        <v>267</v>
      </c>
      <c r="E42" s="10">
        <v>34.200499999999998</v>
      </c>
      <c r="F42" s="11">
        <f>2.07+0.86</f>
        <v>2.9299999999999997</v>
      </c>
      <c r="G42" s="11">
        <f>3.4+0.8</f>
        <v>4.2</v>
      </c>
      <c r="H42" s="11">
        <f>13.98+0.04</f>
        <v>14.02</v>
      </c>
      <c r="I42" s="11">
        <f>90.25+10.8</f>
        <v>101.05</v>
      </c>
      <c r="J42" s="14"/>
    </row>
    <row r="43" spans="1:10" ht="15" customHeight="1" x14ac:dyDescent="0.25">
      <c r="A43" s="329" t="s">
        <v>377</v>
      </c>
      <c r="B43" s="330"/>
      <c r="C43" s="331"/>
      <c r="D43" s="10">
        <v>70</v>
      </c>
      <c r="E43" s="10">
        <v>275.16000000000003</v>
      </c>
      <c r="F43" s="13">
        <v>13.99</v>
      </c>
      <c r="G43" s="13">
        <v>1.71</v>
      </c>
      <c r="H43" s="13">
        <v>4.33</v>
      </c>
      <c r="I43" s="11">
        <v>88.65</v>
      </c>
      <c r="J43" s="10">
        <v>3.89</v>
      </c>
    </row>
    <row r="44" spans="1:10" x14ac:dyDescent="0.25">
      <c r="A44" s="266" t="s">
        <v>206</v>
      </c>
      <c r="B44" s="266"/>
      <c r="C44" s="266"/>
      <c r="D44" s="139">
        <v>100</v>
      </c>
      <c r="E44" s="10">
        <v>200.20050000000001</v>
      </c>
      <c r="F44" s="11">
        <v>2.46</v>
      </c>
      <c r="G44" s="11">
        <v>2.52</v>
      </c>
      <c r="H44" s="11">
        <v>23.44</v>
      </c>
      <c r="I44" s="11">
        <v>126.09</v>
      </c>
      <c r="J44" s="14">
        <v>1.9</v>
      </c>
    </row>
    <row r="45" spans="1:10" x14ac:dyDescent="0.25">
      <c r="A45" s="249" t="s">
        <v>247</v>
      </c>
      <c r="B45" s="250"/>
      <c r="C45" s="251"/>
      <c r="D45" s="24">
        <v>150</v>
      </c>
      <c r="E45" s="24" t="s">
        <v>234</v>
      </c>
      <c r="F45" s="25">
        <v>0.27</v>
      </c>
      <c r="G45" s="25">
        <v>0.06</v>
      </c>
      <c r="H45" s="25">
        <v>9.99</v>
      </c>
      <c r="I45" s="29">
        <v>70.930000000000007</v>
      </c>
      <c r="J45" s="25">
        <v>0.39</v>
      </c>
    </row>
    <row r="46" spans="1:10" x14ac:dyDescent="0.25">
      <c r="A46" s="136" t="s">
        <v>23</v>
      </c>
      <c r="B46" s="137"/>
      <c r="C46" s="138"/>
      <c r="D46" s="10">
        <v>36</v>
      </c>
      <c r="E46" s="10" t="s">
        <v>80</v>
      </c>
      <c r="F46" s="13">
        <v>2.2000000000000002</v>
      </c>
      <c r="G46" s="13">
        <v>0.43</v>
      </c>
      <c r="H46" s="13">
        <v>14.36</v>
      </c>
      <c r="I46" s="11">
        <v>70</v>
      </c>
      <c r="J46" s="25">
        <v>0</v>
      </c>
    </row>
    <row r="47" spans="1:10" x14ac:dyDescent="0.25">
      <c r="A47" s="249" t="s">
        <v>13</v>
      </c>
      <c r="B47" s="250"/>
      <c r="C47" s="251"/>
      <c r="D47" s="10">
        <v>15</v>
      </c>
      <c r="E47" s="10" t="s">
        <v>81</v>
      </c>
      <c r="F47" s="13">
        <v>1.1399999999999999</v>
      </c>
      <c r="G47" s="13">
        <v>0.12</v>
      </c>
      <c r="H47" s="13">
        <v>7.38</v>
      </c>
      <c r="I47" s="11">
        <v>35.159999999999997</v>
      </c>
      <c r="J47" s="25">
        <v>0</v>
      </c>
    </row>
    <row r="48" spans="1:10" x14ac:dyDescent="0.25">
      <c r="A48" s="243" t="s">
        <v>12</v>
      </c>
      <c r="B48" s="244"/>
      <c r="C48" s="245"/>
      <c r="D48" s="10">
        <f>D41+200+10+5+D43+D44+D45+D46+D47</f>
        <v>631</v>
      </c>
      <c r="E48" s="10"/>
      <c r="F48" s="133">
        <f>SUM(F42:F47)</f>
        <v>22.990000000000002</v>
      </c>
      <c r="G48" s="133">
        <f>SUM(G42:G47)</f>
        <v>9.0399999999999991</v>
      </c>
      <c r="H48" s="133">
        <f>SUM(H42:H47)</f>
        <v>73.52000000000001</v>
      </c>
      <c r="I48" s="9">
        <f>SUM(I42:I47)</f>
        <v>491.88</v>
      </c>
      <c r="J48" s="8">
        <f>SUM(J42:J47)</f>
        <v>6.18</v>
      </c>
    </row>
    <row r="49" spans="1:10" x14ac:dyDescent="0.25">
      <c r="A49" s="268" t="s">
        <v>37</v>
      </c>
      <c r="B49" s="268"/>
      <c r="C49" s="268"/>
      <c r="D49" s="268"/>
      <c r="E49" s="268"/>
      <c r="F49" s="268"/>
      <c r="G49" s="268"/>
      <c r="H49" s="268"/>
      <c r="I49" s="268"/>
      <c r="J49" s="14"/>
    </row>
    <row r="50" spans="1:10" ht="15" customHeight="1" x14ac:dyDescent="0.25">
      <c r="A50" s="280" t="s">
        <v>287</v>
      </c>
      <c r="B50" s="280"/>
      <c r="C50" s="280"/>
      <c r="D50" s="10" t="s">
        <v>346</v>
      </c>
      <c r="E50" s="10">
        <v>245.16</v>
      </c>
      <c r="F50" s="13">
        <f>21.7+0.04</f>
        <v>21.74</v>
      </c>
      <c r="G50" s="13">
        <f>9.75</f>
        <v>9.75</v>
      </c>
      <c r="H50" s="13">
        <f>24.37+6.5</f>
        <v>30.87</v>
      </c>
      <c r="I50" s="11">
        <f>272.01+26.16</f>
        <v>298.17</v>
      </c>
      <c r="J50" s="13">
        <f>0.48+0.05</f>
        <v>0.53</v>
      </c>
    </row>
    <row r="51" spans="1:10" ht="15" customHeight="1" x14ac:dyDescent="0.25">
      <c r="A51" s="249" t="s">
        <v>13</v>
      </c>
      <c r="B51" s="250"/>
      <c r="C51" s="251"/>
      <c r="D51" s="10">
        <v>15</v>
      </c>
      <c r="E51" s="10" t="s">
        <v>81</v>
      </c>
      <c r="F51" s="13">
        <v>1.1399999999999999</v>
      </c>
      <c r="G51" s="13">
        <v>0.12</v>
      </c>
      <c r="H51" s="13">
        <v>7.38</v>
      </c>
      <c r="I51" s="11">
        <v>35.159999999999997</v>
      </c>
      <c r="J51" s="25">
        <v>0</v>
      </c>
    </row>
    <row r="52" spans="1:10" ht="15" customHeight="1" x14ac:dyDescent="0.25">
      <c r="A52" s="249" t="s">
        <v>285</v>
      </c>
      <c r="B52" s="250"/>
      <c r="C52" s="251"/>
      <c r="D52" s="10" t="s">
        <v>266</v>
      </c>
      <c r="E52" s="10">
        <v>251</v>
      </c>
      <c r="F52" s="13">
        <v>4.5199999999999996</v>
      </c>
      <c r="G52" s="13">
        <v>4.99</v>
      </c>
      <c r="H52" s="13">
        <f>6.24+2.99</f>
        <v>9.23</v>
      </c>
      <c r="I52" s="11">
        <f>87.98+11.98</f>
        <v>99.960000000000008</v>
      </c>
      <c r="J52" s="8">
        <v>1.0900000000000001</v>
      </c>
    </row>
    <row r="53" spans="1:10" x14ac:dyDescent="0.25">
      <c r="A53" s="249" t="s">
        <v>273</v>
      </c>
      <c r="B53" s="250"/>
      <c r="C53" s="251"/>
      <c r="D53" s="10">
        <v>130</v>
      </c>
      <c r="E53" s="25" t="s">
        <v>77</v>
      </c>
      <c r="F53" s="187">
        <v>0.52</v>
      </c>
      <c r="G53" s="25">
        <v>0.52</v>
      </c>
      <c r="H53" s="25">
        <v>12.74</v>
      </c>
      <c r="I53" s="29">
        <v>57.72</v>
      </c>
      <c r="J53" s="25">
        <v>13</v>
      </c>
    </row>
    <row r="54" spans="1:10" ht="21" customHeight="1" x14ac:dyDescent="0.25">
      <c r="A54" s="237" t="s">
        <v>12</v>
      </c>
      <c r="B54" s="238"/>
      <c r="C54" s="239"/>
      <c r="D54" s="8">
        <f>D53+D108+D51+95+10</f>
        <v>400</v>
      </c>
      <c r="E54" s="8"/>
      <c r="F54" s="9">
        <f>SUM(F50:F53)</f>
        <v>27.919999999999998</v>
      </c>
      <c r="G54" s="9">
        <f>SUM(G50:G53)</f>
        <v>15.379999999999999</v>
      </c>
      <c r="H54" s="9">
        <f>SUM(H50:H53)</f>
        <v>60.220000000000006</v>
      </c>
      <c r="I54" s="9">
        <f>SUM(I50:I53)</f>
        <v>491.0100000000001</v>
      </c>
      <c r="J54" s="9">
        <f>SUM(J50:J53)</f>
        <v>14.620000000000001</v>
      </c>
    </row>
    <row r="55" spans="1:10" ht="15" customHeight="1" x14ac:dyDescent="0.25">
      <c r="A55" s="237" t="s">
        <v>14</v>
      </c>
      <c r="B55" s="238"/>
      <c r="C55" s="239"/>
      <c r="D55" s="8"/>
      <c r="E55" s="8"/>
      <c r="F55" s="9">
        <f>F54+F48+F39+F35</f>
        <v>65.31</v>
      </c>
      <c r="G55" s="9">
        <f>G54+G48+G39+G35</f>
        <v>41.54</v>
      </c>
      <c r="H55" s="9">
        <f>H54+H48+H39+H35</f>
        <v>212.63</v>
      </c>
      <c r="I55" s="9">
        <f>I54+I48+I39+I35</f>
        <v>1512.85</v>
      </c>
      <c r="J55" s="9">
        <f>J54+J48+J39+J35</f>
        <v>27.82</v>
      </c>
    </row>
    <row r="56" spans="1:10" ht="39.75" customHeight="1" x14ac:dyDescent="0.25">
      <c r="A56" s="269" t="s">
        <v>0</v>
      </c>
      <c r="B56" s="269"/>
      <c r="C56" s="269"/>
      <c r="D56" s="6" t="s">
        <v>1</v>
      </c>
      <c r="E56" s="6" t="s">
        <v>2</v>
      </c>
      <c r="F56" s="133" t="s">
        <v>3</v>
      </c>
      <c r="G56" s="133" t="s">
        <v>4</v>
      </c>
      <c r="H56" s="133" t="s">
        <v>28</v>
      </c>
      <c r="I56" s="157" t="s">
        <v>75</v>
      </c>
      <c r="J56" s="6" t="s">
        <v>76</v>
      </c>
    </row>
    <row r="57" spans="1:10" x14ac:dyDescent="0.25">
      <c r="A57" s="269" t="s">
        <v>5</v>
      </c>
      <c r="B57" s="269"/>
      <c r="C57" s="269"/>
      <c r="D57" s="269"/>
      <c r="E57" s="269"/>
      <c r="F57" s="269"/>
      <c r="G57" s="269"/>
      <c r="H57" s="269"/>
      <c r="I57" s="269"/>
      <c r="J57" s="269"/>
    </row>
    <row r="58" spans="1:10" x14ac:dyDescent="0.25">
      <c r="A58" s="269" t="s">
        <v>17</v>
      </c>
      <c r="B58" s="269"/>
      <c r="C58" s="269"/>
      <c r="D58" s="269"/>
      <c r="E58" s="269"/>
      <c r="F58" s="269"/>
      <c r="G58" s="269"/>
      <c r="H58" s="269"/>
      <c r="I58" s="269"/>
      <c r="J58" s="269"/>
    </row>
    <row r="59" spans="1:10" x14ac:dyDescent="0.25">
      <c r="A59" s="269" t="s">
        <v>9</v>
      </c>
      <c r="B59" s="269"/>
      <c r="C59" s="269"/>
      <c r="D59" s="269"/>
      <c r="E59" s="269"/>
      <c r="F59" s="269"/>
      <c r="G59" s="269"/>
      <c r="H59" s="269"/>
      <c r="I59" s="269"/>
      <c r="J59" s="269"/>
    </row>
    <row r="60" spans="1:10" x14ac:dyDescent="0.25">
      <c r="A60" s="294" t="s">
        <v>282</v>
      </c>
      <c r="B60" s="294"/>
      <c r="C60" s="294"/>
      <c r="D60" s="135" t="s">
        <v>344</v>
      </c>
      <c r="E60" s="10" t="s">
        <v>143</v>
      </c>
      <c r="F60" s="13">
        <v>1.53</v>
      </c>
      <c r="G60" s="13">
        <v>3.48</v>
      </c>
      <c r="H60" s="13">
        <v>10.15</v>
      </c>
      <c r="I60" s="11">
        <v>79.040000000000006</v>
      </c>
      <c r="J60" s="25">
        <v>0</v>
      </c>
    </row>
    <row r="61" spans="1:10" ht="33.75" customHeight="1" x14ac:dyDescent="0.25">
      <c r="A61" s="280" t="s">
        <v>207</v>
      </c>
      <c r="B61" s="280"/>
      <c r="C61" s="280"/>
      <c r="D61" s="10" t="s">
        <v>69</v>
      </c>
      <c r="E61" s="10" t="s">
        <v>347</v>
      </c>
      <c r="F61" s="13">
        <v>4.4000000000000004</v>
      </c>
      <c r="G61" s="13">
        <v>5.09</v>
      </c>
      <c r="H61" s="13">
        <v>21.73</v>
      </c>
      <c r="I61" s="11">
        <v>150.86000000000001</v>
      </c>
      <c r="J61" s="10">
        <v>1.03</v>
      </c>
    </row>
    <row r="62" spans="1:10" x14ac:dyDescent="0.25">
      <c r="A62" s="249" t="s">
        <v>22</v>
      </c>
      <c r="B62" s="250"/>
      <c r="C62" s="251"/>
      <c r="D62" s="10">
        <v>180</v>
      </c>
      <c r="E62" s="10" t="s">
        <v>246</v>
      </c>
      <c r="F62" s="11">
        <v>1.22</v>
      </c>
      <c r="G62" s="11">
        <v>1.05</v>
      </c>
      <c r="H62" s="11">
        <v>12.01</v>
      </c>
      <c r="I62" s="11">
        <v>62.65</v>
      </c>
      <c r="J62" s="10">
        <v>0.55000000000000004</v>
      </c>
    </row>
    <row r="63" spans="1:10" x14ac:dyDescent="0.25">
      <c r="A63" s="243" t="s">
        <v>12</v>
      </c>
      <c r="B63" s="244"/>
      <c r="C63" s="245"/>
      <c r="D63" s="10">
        <f>154+24+D62</f>
        <v>358</v>
      </c>
      <c r="E63" s="10"/>
      <c r="F63" s="133">
        <f>SUM(F61:F62)</f>
        <v>5.62</v>
      </c>
      <c r="G63" s="133">
        <f>SUM(G61:G62)</f>
        <v>6.14</v>
      </c>
      <c r="H63" s="133">
        <f>SUM(H61:H62)</f>
        <v>33.74</v>
      </c>
      <c r="I63" s="9">
        <f>SUM(I61:I62)</f>
        <v>213.51000000000002</v>
      </c>
      <c r="J63" s="6">
        <f>SUM(J61:J62)</f>
        <v>1.58</v>
      </c>
    </row>
    <row r="64" spans="1:10" x14ac:dyDescent="0.25">
      <c r="A64" s="269" t="s">
        <v>8</v>
      </c>
      <c r="B64" s="269"/>
      <c r="C64" s="269"/>
      <c r="D64" s="269"/>
      <c r="E64" s="269"/>
      <c r="F64" s="269"/>
      <c r="G64" s="269"/>
      <c r="H64" s="269"/>
      <c r="I64" s="269"/>
      <c r="J64" s="10"/>
    </row>
    <row r="65" spans="1:10" x14ac:dyDescent="0.25">
      <c r="A65" s="249" t="s">
        <v>273</v>
      </c>
      <c r="B65" s="250"/>
      <c r="C65" s="251"/>
      <c r="D65" s="14">
        <v>40</v>
      </c>
      <c r="E65" s="10" t="s">
        <v>77</v>
      </c>
      <c r="F65" s="13">
        <v>0.16</v>
      </c>
      <c r="G65" s="13">
        <v>0.16</v>
      </c>
      <c r="H65" s="13">
        <v>3.92</v>
      </c>
      <c r="I65" s="11">
        <v>17.760000000000002</v>
      </c>
      <c r="J65" s="25">
        <v>4</v>
      </c>
    </row>
    <row r="66" spans="1:10" x14ac:dyDescent="0.25">
      <c r="A66" s="243" t="s">
        <v>12</v>
      </c>
      <c r="B66" s="244"/>
      <c r="C66" s="245"/>
      <c r="D66" s="10">
        <f>SUM(D65)</f>
        <v>40</v>
      </c>
      <c r="E66" s="10"/>
      <c r="F66" s="133">
        <f>SUM(F65:F65)</f>
        <v>0.16</v>
      </c>
      <c r="G66" s="133">
        <f>SUM(G65:G65)</f>
        <v>0.16</v>
      </c>
      <c r="H66" s="133">
        <f>SUM(H65:H65)</f>
        <v>3.92</v>
      </c>
      <c r="I66" s="9">
        <f>SUM(I65:I65)</f>
        <v>17.760000000000002</v>
      </c>
      <c r="J66" s="6">
        <f>SUM(J65:J65)</f>
        <v>4</v>
      </c>
    </row>
    <row r="67" spans="1:10" x14ac:dyDescent="0.25">
      <c r="A67" s="269" t="s">
        <v>11</v>
      </c>
      <c r="B67" s="269"/>
      <c r="C67" s="269"/>
      <c r="D67" s="269"/>
      <c r="E67" s="269"/>
      <c r="F67" s="269"/>
      <c r="G67" s="269"/>
      <c r="H67" s="269"/>
      <c r="I67" s="269"/>
      <c r="J67" s="6"/>
    </row>
    <row r="68" spans="1:10" ht="15" customHeight="1" x14ac:dyDescent="0.25">
      <c r="A68" s="298" t="s">
        <v>209</v>
      </c>
      <c r="B68" s="299"/>
      <c r="C68" s="300"/>
      <c r="D68" s="24">
        <v>45</v>
      </c>
      <c r="E68" s="24">
        <v>5.2004999999999999</v>
      </c>
      <c r="F68" s="24">
        <v>0.65</v>
      </c>
      <c r="G68" s="24">
        <v>3</v>
      </c>
      <c r="H68" s="24">
        <v>3.23</v>
      </c>
      <c r="I68" s="33">
        <v>42.74</v>
      </c>
      <c r="J68" s="10">
        <v>27</v>
      </c>
    </row>
    <row r="69" spans="1:10" ht="15" customHeight="1" x14ac:dyDescent="0.25">
      <c r="A69" s="280" t="s">
        <v>322</v>
      </c>
      <c r="B69" s="280"/>
      <c r="C69" s="280"/>
      <c r="D69" s="24">
        <v>45</v>
      </c>
      <c r="E69" s="24">
        <v>78.040000000000006</v>
      </c>
      <c r="F69" s="25">
        <v>0.15</v>
      </c>
      <c r="G69" s="25">
        <v>0</v>
      </c>
      <c r="H69" s="25">
        <v>0.2</v>
      </c>
      <c r="I69" s="29">
        <f>(F69+H69)*4+G69*9</f>
        <v>1.4</v>
      </c>
      <c r="J69" s="25">
        <v>10.25</v>
      </c>
    </row>
    <row r="70" spans="1:10" ht="30.6" customHeight="1" x14ac:dyDescent="0.25">
      <c r="A70" s="307" t="s">
        <v>157</v>
      </c>
      <c r="B70" s="308"/>
      <c r="C70" s="309"/>
      <c r="D70" s="10" t="s">
        <v>170</v>
      </c>
      <c r="E70" s="10">
        <v>36.200499999999998</v>
      </c>
      <c r="F70" s="11">
        <v>4.95</v>
      </c>
      <c r="G70" s="11">
        <v>3.73</v>
      </c>
      <c r="H70" s="11">
        <v>11.67</v>
      </c>
      <c r="I70" s="11">
        <v>99.77</v>
      </c>
      <c r="J70" s="14">
        <v>7.05</v>
      </c>
    </row>
    <row r="71" spans="1:10" x14ac:dyDescent="0.25">
      <c r="A71" s="249" t="s">
        <v>133</v>
      </c>
      <c r="B71" s="250"/>
      <c r="C71" s="251"/>
      <c r="D71" s="149">
        <v>230</v>
      </c>
      <c r="E71" s="24" t="s">
        <v>134</v>
      </c>
      <c r="F71" s="13">
        <v>12.24</v>
      </c>
      <c r="G71" s="13">
        <v>11.85</v>
      </c>
      <c r="H71" s="13">
        <v>25.83</v>
      </c>
      <c r="I71" s="11">
        <v>257.13</v>
      </c>
      <c r="J71" s="25">
        <v>32.22</v>
      </c>
    </row>
    <row r="72" spans="1:10" x14ac:dyDescent="0.25">
      <c r="A72" s="295" t="s">
        <v>323</v>
      </c>
      <c r="B72" s="296"/>
      <c r="C72" s="297"/>
      <c r="D72" s="24">
        <v>150</v>
      </c>
      <c r="E72" s="24">
        <v>394.16</v>
      </c>
      <c r="F72" s="25">
        <v>0.23</v>
      </c>
      <c r="G72" s="25">
        <v>0.05</v>
      </c>
      <c r="H72" s="25">
        <v>16.559999999999999</v>
      </c>
      <c r="I72" s="29">
        <v>67.61</v>
      </c>
      <c r="J72" s="25">
        <v>0.39</v>
      </c>
    </row>
    <row r="73" spans="1:10" x14ac:dyDescent="0.25">
      <c r="A73" s="136" t="s">
        <v>23</v>
      </c>
      <c r="B73" s="137"/>
      <c r="C73" s="138"/>
      <c r="D73" s="10">
        <v>36</v>
      </c>
      <c r="E73" s="10" t="s">
        <v>80</v>
      </c>
      <c r="F73" s="13">
        <v>2.2000000000000002</v>
      </c>
      <c r="G73" s="13">
        <v>0.43</v>
      </c>
      <c r="H73" s="13">
        <v>14.36</v>
      </c>
      <c r="I73" s="11">
        <v>70</v>
      </c>
      <c r="J73" s="25">
        <v>0</v>
      </c>
    </row>
    <row r="74" spans="1:10" x14ac:dyDescent="0.25">
      <c r="A74" s="249" t="s">
        <v>13</v>
      </c>
      <c r="B74" s="250"/>
      <c r="C74" s="251"/>
      <c r="D74" s="10">
        <v>10</v>
      </c>
      <c r="E74" s="10" t="s">
        <v>79</v>
      </c>
      <c r="F74" s="13">
        <v>0.76</v>
      </c>
      <c r="G74" s="13">
        <v>0.08</v>
      </c>
      <c r="H74" s="13">
        <v>4.92</v>
      </c>
      <c r="I74" s="11">
        <v>23.44</v>
      </c>
      <c r="J74" s="6">
        <v>0</v>
      </c>
    </row>
    <row r="75" spans="1:10" x14ac:dyDescent="0.25">
      <c r="A75" s="237" t="s">
        <v>12</v>
      </c>
      <c r="B75" s="238"/>
      <c r="C75" s="239"/>
      <c r="D75" s="14">
        <f>D68+200+6+D71+D72+D73+D74</f>
        <v>677</v>
      </c>
      <c r="E75" s="14"/>
      <c r="F75" s="9">
        <f>SUM(F69:F74)</f>
        <v>20.53</v>
      </c>
      <c r="G75" s="9">
        <f t="shared" ref="G75:I75" si="0">SUM(G69:G74)</f>
        <v>16.14</v>
      </c>
      <c r="H75" s="9">
        <f t="shared" si="0"/>
        <v>73.539999999999992</v>
      </c>
      <c r="I75" s="9">
        <f t="shared" si="0"/>
        <v>519.35</v>
      </c>
      <c r="J75" s="10">
        <f>SUM(J69:J74)</f>
        <v>49.91</v>
      </c>
    </row>
    <row r="76" spans="1:10" x14ac:dyDescent="0.25">
      <c r="A76" s="268" t="s">
        <v>37</v>
      </c>
      <c r="B76" s="268"/>
      <c r="C76" s="268"/>
      <c r="D76" s="268"/>
      <c r="E76" s="268"/>
      <c r="F76" s="268"/>
      <c r="G76" s="268"/>
      <c r="H76" s="268"/>
      <c r="I76" s="268"/>
      <c r="J76" s="10"/>
    </row>
    <row r="77" spans="1:10" ht="16.5" customHeight="1" x14ac:dyDescent="0.25">
      <c r="A77" s="252" t="s">
        <v>201</v>
      </c>
      <c r="B77" s="252"/>
      <c r="C77" s="252"/>
      <c r="D77" s="12">
        <v>150</v>
      </c>
      <c r="E77" s="24">
        <v>541.20050000000003</v>
      </c>
      <c r="F77" s="25">
        <v>2.46</v>
      </c>
      <c r="G77" s="25">
        <v>3.55</v>
      </c>
      <c r="H77" s="25">
        <v>14.61</v>
      </c>
      <c r="I77" s="29">
        <v>100.62</v>
      </c>
      <c r="J77" s="25">
        <v>41.67</v>
      </c>
    </row>
    <row r="78" spans="1:10" ht="15" customHeight="1" x14ac:dyDescent="0.25">
      <c r="A78" s="249" t="s">
        <v>13</v>
      </c>
      <c r="B78" s="250"/>
      <c r="C78" s="251"/>
      <c r="D78" s="10">
        <v>15</v>
      </c>
      <c r="E78" s="10" t="s">
        <v>81</v>
      </c>
      <c r="F78" s="13">
        <v>1.1399999999999999</v>
      </c>
      <c r="G78" s="13">
        <v>0.12</v>
      </c>
      <c r="H78" s="13">
        <v>7.38</v>
      </c>
      <c r="I78" s="11">
        <v>35.159999999999997</v>
      </c>
      <c r="J78" s="25">
        <v>0</v>
      </c>
    </row>
    <row r="79" spans="1:10" x14ac:dyDescent="0.25">
      <c r="A79" s="249" t="s">
        <v>290</v>
      </c>
      <c r="B79" s="250"/>
      <c r="C79" s="251"/>
      <c r="D79" s="10">
        <v>50</v>
      </c>
      <c r="E79" s="10">
        <v>453.16</v>
      </c>
      <c r="F79" s="13">
        <v>3.54</v>
      </c>
      <c r="G79" s="13">
        <v>5.01</v>
      </c>
      <c r="H79" s="13">
        <v>29.42</v>
      </c>
      <c r="I79" s="11">
        <v>176.87</v>
      </c>
      <c r="J79" s="6">
        <v>0</v>
      </c>
    </row>
    <row r="80" spans="1:10" x14ac:dyDescent="0.25">
      <c r="A80" s="249" t="s">
        <v>285</v>
      </c>
      <c r="B80" s="250"/>
      <c r="C80" s="251"/>
      <c r="D80" s="10" t="s">
        <v>348</v>
      </c>
      <c r="E80" s="10">
        <v>251</v>
      </c>
      <c r="F80" s="13">
        <f>5.22</f>
        <v>5.22</v>
      </c>
      <c r="G80" s="13">
        <v>5.76</v>
      </c>
      <c r="H80" s="13">
        <f>7.2+3.99</f>
        <v>11.190000000000001</v>
      </c>
      <c r="I80" s="13">
        <f>101.52+15.97</f>
        <v>117.49</v>
      </c>
      <c r="J80" s="25">
        <v>1.26</v>
      </c>
    </row>
    <row r="81" spans="1:10" ht="17.25" customHeight="1" x14ac:dyDescent="0.25">
      <c r="A81" s="243" t="s">
        <v>12</v>
      </c>
      <c r="B81" s="244"/>
      <c r="C81" s="245"/>
      <c r="D81" s="6">
        <f>D77+D78+D79+185</f>
        <v>400</v>
      </c>
      <c r="E81" s="6"/>
      <c r="F81" s="133">
        <f>SUM(F77:F80)</f>
        <v>12.36</v>
      </c>
      <c r="G81" s="133">
        <f>SUM(G77:G80)</f>
        <v>14.44</v>
      </c>
      <c r="H81" s="133">
        <f>SUM(H77:H80)</f>
        <v>62.599999999999994</v>
      </c>
      <c r="I81" s="9">
        <f>SUM(I77:I80)</f>
        <v>430.14</v>
      </c>
      <c r="J81" s="6">
        <f>SUM(J77:J80)</f>
        <v>42.93</v>
      </c>
    </row>
    <row r="82" spans="1:10" ht="14.25" customHeight="1" x14ac:dyDescent="0.25">
      <c r="A82" s="243" t="s">
        <v>14</v>
      </c>
      <c r="B82" s="244"/>
      <c r="C82" s="245"/>
      <c r="D82" s="6"/>
      <c r="E82" s="6"/>
      <c r="F82" s="133">
        <f>F63+F66+F75+F81</f>
        <v>38.67</v>
      </c>
      <c r="G82" s="133">
        <f t="shared" ref="G82:J82" si="1">G63+G66+G75+G81</f>
        <v>36.880000000000003</v>
      </c>
      <c r="H82" s="133">
        <f t="shared" si="1"/>
        <v>173.79999999999998</v>
      </c>
      <c r="I82" s="133">
        <f t="shared" si="1"/>
        <v>1180.76</v>
      </c>
      <c r="J82" s="133">
        <f t="shared" si="1"/>
        <v>98.419999999999987</v>
      </c>
    </row>
    <row r="83" spans="1:10" ht="39.75" customHeight="1" x14ac:dyDescent="0.25">
      <c r="A83" s="269" t="s">
        <v>0</v>
      </c>
      <c r="B83" s="269"/>
      <c r="C83" s="269"/>
      <c r="D83" s="6" t="s">
        <v>1</v>
      </c>
      <c r="E83" s="6" t="s">
        <v>2</v>
      </c>
      <c r="F83" s="133" t="s">
        <v>3</v>
      </c>
      <c r="G83" s="133" t="s">
        <v>4</v>
      </c>
      <c r="H83" s="133" t="s">
        <v>28</v>
      </c>
      <c r="I83" s="157" t="s">
        <v>75</v>
      </c>
      <c r="J83" s="6" t="s">
        <v>76</v>
      </c>
    </row>
    <row r="84" spans="1:10" x14ac:dyDescent="0.25">
      <c r="A84" s="268" t="s">
        <v>5</v>
      </c>
      <c r="B84" s="268"/>
      <c r="C84" s="268"/>
      <c r="D84" s="268"/>
      <c r="E84" s="268"/>
      <c r="F84" s="268"/>
      <c r="G84" s="268"/>
      <c r="H84" s="268"/>
      <c r="I84" s="268"/>
      <c r="J84" s="268"/>
    </row>
    <row r="85" spans="1:10" x14ac:dyDescent="0.25">
      <c r="A85" s="268" t="s">
        <v>18</v>
      </c>
      <c r="B85" s="268"/>
      <c r="C85" s="268"/>
      <c r="D85" s="268"/>
      <c r="E85" s="268"/>
      <c r="F85" s="268"/>
      <c r="G85" s="268"/>
      <c r="H85" s="268"/>
      <c r="I85" s="268"/>
      <c r="J85" s="268"/>
    </row>
    <row r="86" spans="1:10" x14ac:dyDescent="0.25">
      <c r="A86" s="268" t="s">
        <v>9</v>
      </c>
      <c r="B86" s="268"/>
      <c r="C86" s="268"/>
      <c r="D86" s="268"/>
      <c r="E86" s="268"/>
      <c r="F86" s="268"/>
      <c r="G86" s="268"/>
      <c r="H86" s="268"/>
      <c r="I86" s="268"/>
      <c r="J86" s="268"/>
    </row>
    <row r="87" spans="1:10" ht="27.6" customHeight="1" x14ac:dyDescent="0.25">
      <c r="A87" s="270" t="s">
        <v>187</v>
      </c>
      <c r="B87" s="270"/>
      <c r="C87" s="270"/>
      <c r="D87" s="24" t="s">
        <v>69</v>
      </c>
      <c r="E87" s="24">
        <v>99.200500000000005</v>
      </c>
      <c r="F87" s="25">
        <v>4.1100000000000003</v>
      </c>
      <c r="G87" s="25">
        <v>5.03</v>
      </c>
      <c r="H87" s="25">
        <v>19.82</v>
      </c>
      <c r="I87" s="29">
        <v>141.44</v>
      </c>
      <c r="J87" s="25">
        <v>0.98</v>
      </c>
    </row>
    <row r="88" spans="1:10" ht="15" customHeight="1" x14ac:dyDescent="0.25">
      <c r="A88" s="336" t="s">
        <v>153</v>
      </c>
      <c r="B88" s="336"/>
      <c r="C88" s="336"/>
      <c r="D88" s="337">
        <v>150</v>
      </c>
      <c r="E88" s="338" t="s">
        <v>154</v>
      </c>
      <c r="F88" s="339">
        <v>6.32</v>
      </c>
      <c r="G88" s="339">
        <v>5.29</v>
      </c>
      <c r="H88" s="339">
        <v>21.62</v>
      </c>
      <c r="I88" s="340">
        <v>160.57</v>
      </c>
      <c r="J88" s="338">
        <v>2.54</v>
      </c>
    </row>
    <row r="89" spans="1:10" x14ac:dyDescent="0.25">
      <c r="A89" s="294" t="s">
        <v>282</v>
      </c>
      <c r="B89" s="294"/>
      <c r="C89" s="294"/>
      <c r="D89" s="135" t="s">
        <v>344</v>
      </c>
      <c r="E89" s="10" t="s">
        <v>143</v>
      </c>
      <c r="F89" s="13">
        <v>1.54</v>
      </c>
      <c r="G89" s="13">
        <v>4.21</v>
      </c>
      <c r="H89" s="13">
        <v>10.17</v>
      </c>
      <c r="I89" s="11">
        <v>85.65</v>
      </c>
      <c r="J89" s="25">
        <v>0</v>
      </c>
    </row>
    <row r="90" spans="1:10" x14ac:dyDescent="0.25">
      <c r="A90" s="243" t="s">
        <v>12</v>
      </c>
      <c r="B90" s="244"/>
      <c r="C90" s="245"/>
      <c r="D90" s="10">
        <f>20+4+D88+154</f>
        <v>328</v>
      </c>
      <c r="E90" s="10"/>
      <c r="F90" s="133">
        <f>SUM(F87:F89)</f>
        <v>11.969999999999999</v>
      </c>
      <c r="G90" s="133">
        <f>SUM(G87:G89)</f>
        <v>14.530000000000001</v>
      </c>
      <c r="H90" s="133">
        <f>SUM(H87:H89)</f>
        <v>51.61</v>
      </c>
      <c r="I90" s="9">
        <f>SUM(I87:I89)</f>
        <v>387.65999999999997</v>
      </c>
      <c r="J90" s="10">
        <f>SUM(J87:J89)</f>
        <v>3.52</v>
      </c>
    </row>
    <row r="91" spans="1:10" x14ac:dyDescent="0.25">
      <c r="A91" s="269" t="s">
        <v>8</v>
      </c>
      <c r="B91" s="269"/>
      <c r="C91" s="269"/>
      <c r="D91" s="269"/>
      <c r="E91" s="269"/>
      <c r="F91" s="269"/>
      <c r="G91" s="269"/>
      <c r="H91" s="269"/>
      <c r="I91" s="269"/>
      <c r="J91" s="6"/>
    </row>
    <row r="92" spans="1:10" x14ac:dyDescent="0.25">
      <c r="A92" s="181"/>
      <c r="B92" s="182"/>
      <c r="C92" s="183"/>
      <c r="D92" s="172"/>
      <c r="E92" s="172"/>
      <c r="F92" s="172"/>
      <c r="G92" s="172"/>
      <c r="H92" s="172"/>
      <c r="I92" s="176"/>
      <c r="J92" s="6"/>
    </row>
    <row r="93" spans="1:10" x14ac:dyDescent="0.25">
      <c r="A93" s="341" t="s">
        <v>46</v>
      </c>
      <c r="B93" s="342"/>
      <c r="C93" s="343"/>
      <c r="D93" s="344">
        <v>150</v>
      </c>
      <c r="E93" s="344">
        <v>255.20050000000001</v>
      </c>
      <c r="F93" s="345">
        <v>5.8</v>
      </c>
      <c r="G93" s="345">
        <v>5</v>
      </c>
      <c r="H93" s="345">
        <v>9.6</v>
      </c>
      <c r="I93" s="345">
        <v>108</v>
      </c>
      <c r="J93" s="345">
        <v>25.34</v>
      </c>
    </row>
    <row r="94" spans="1:10" x14ac:dyDescent="0.25">
      <c r="A94" s="346" t="s">
        <v>384</v>
      </c>
      <c r="B94" s="347"/>
      <c r="C94" s="348"/>
      <c r="D94" s="344">
        <v>20</v>
      </c>
      <c r="E94" s="344"/>
      <c r="F94" s="345">
        <v>1.53</v>
      </c>
      <c r="G94" s="345">
        <v>2.2000000000000002</v>
      </c>
      <c r="H94" s="345">
        <v>14.2</v>
      </c>
      <c r="I94" s="345">
        <v>82.82</v>
      </c>
      <c r="J94" s="345"/>
    </row>
    <row r="95" spans="1:10" x14ac:dyDescent="0.25">
      <c r="A95" s="243" t="s">
        <v>12</v>
      </c>
      <c r="B95" s="244"/>
      <c r="C95" s="245"/>
      <c r="D95" s="10">
        <f>D93+D94</f>
        <v>170</v>
      </c>
      <c r="E95" s="10"/>
      <c r="F95" s="13">
        <f>SUM(F93:F93)</f>
        <v>5.8</v>
      </c>
      <c r="G95" s="13">
        <f>SUM(G93:G93)</f>
        <v>5</v>
      </c>
      <c r="H95" s="13">
        <f>SUM(H93:H93)</f>
        <v>9.6</v>
      </c>
      <c r="I95" s="11">
        <f>SUM(I93:I93)</f>
        <v>108</v>
      </c>
      <c r="J95" s="13">
        <f>SUM(J93:J93)</f>
        <v>25.34</v>
      </c>
    </row>
    <row r="96" spans="1:10" x14ac:dyDescent="0.25">
      <c r="A96" s="268" t="s">
        <v>11</v>
      </c>
      <c r="B96" s="268"/>
      <c r="C96" s="268"/>
      <c r="D96" s="268"/>
      <c r="E96" s="268"/>
      <c r="F96" s="268"/>
      <c r="G96" s="268"/>
      <c r="H96" s="268"/>
      <c r="I96" s="268"/>
      <c r="J96" s="10"/>
    </row>
    <row r="97" spans="1:10" x14ac:dyDescent="0.25">
      <c r="A97" s="277" t="s">
        <v>291</v>
      </c>
      <c r="B97" s="278"/>
      <c r="C97" s="279"/>
      <c r="D97" s="14">
        <v>45</v>
      </c>
      <c r="E97" s="14">
        <v>135</v>
      </c>
      <c r="F97" s="33">
        <v>0.64</v>
      </c>
      <c r="G97" s="33">
        <v>2.29</v>
      </c>
      <c r="H97" s="33">
        <v>5.98</v>
      </c>
      <c r="I97" s="33">
        <v>47.06</v>
      </c>
      <c r="J97" s="10">
        <v>4.24</v>
      </c>
    </row>
    <row r="98" spans="1:10" ht="19.899999999999999" customHeight="1" x14ac:dyDescent="0.25">
      <c r="A98" s="328" t="s">
        <v>324</v>
      </c>
      <c r="B98" s="328"/>
      <c r="C98" s="328"/>
      <c r="D98" s="139" t="s">
        <v>56</v>
      </c>
      <c r="E98" s="10">
        <v>42.200499999999998</v>
      </c>
      <c r="F98" s="13">
        <v>1.56</v>
      </c>
      <c r="G98" s="13">
        <v>2.4</v>
      </c>
      <c r="H98" s="13">
        <v>8.41</v>
      </c>
      <c r="I98" s="11">
        <v>59.37</v>
      </c>
      <c r="J98" s="10">
        <v>24</v>
      </c>
    </row>
    <row r="99" spans="1:10" x14ac:dyDescent="0.25">
      <c r="A99" s="249" t="s">
        <v>210</v>
      </c>
      <c r="B99" s="250"/>
      <c r="C99" s="251"/>
      <c r="D99" s="10" t="s">
        <v>261</v>
      </c>
      <c r="E99" s="10" t="s">
        <v>235</v>
      </c>
      <c r="F99" s="25">
        <v>16.559999999999999</v>
      </c>
      <c r="G99" s="25">
        <v>7.43</v>
      </c>
      <c r="H99" s="25">
        <v>6.82</v>
      </c>
      <c r="I99" s="29">
        <v>160.51</v>
      </c>
      <c r="J99" s="25">
        <v>29.33</v>
      </c>
    </row>
    <row r="100" spans="1:10" x14ac:dyDescent="0.25">
      <c r="A100" s="15" t="s">
        <v>108</v>
      </c>
      <c r="B100" s="15"/>
      <c r="C100" s="15"/>
      <c r="D100" s="10">
        <v>100</v>
      </c>
      <c r="E100" s="10">
        <v>510.2004</v>
      </c>
      <c r="F100" s="13">
        <v>3.08</v>
      </c>
      <c r="G100" s="13">
        <v>3.34</v>
      </c>
      <c r="H100" s="13">
        <v>13.87</v>
      </c>
      <c r="I100" s="11">
        <v>97.79</v>
      </c>
      <c r="J100" s="14">
        <v>0</v>
      </c>
    </row>
    <row r="101" spans="1:10" x14ac:dyDescent="0.25">
      <c r="A101" s="295" t="s">
        <v>325</v>
      </c>
      <c r="B101" s="296"/>
      <c r="C101" s="297"/>
      <c r="D101" s="24">
        <v>150</v>
      </c>
      <c r="E101" s="24">
        <v>394.16</v>
      </c>
      <c r="F101" s="25">
        <v>0.52</v>
      </c>
      <c r="G101" s="25">
        <v>0.03</v>
      </c>
      <c r="H101" s="25">
        <v>15.08</v>
      </c>
      <c r="I101" s="29">
        <v>62.67</v>
      </c>
      <c r="J101" s="25">
        <v>0.4</v>
      </c>
    </row>
    <row r="102" spans="1:10" x14ac:dyDescent="0.25">
      <c r="A102" s="136" t="s">
        <v>23</v>
      </c>
      <c r="B102" s="137"/>
      <c r="C102" s="138"/>
      <c r="D102" s="10">
        <v>36</v>
      </c>
      <c r="E102" s="10" t="s">
        <v>80</v>
      </c>
      <c r="F102" s="13">
        <v>2.2000000000000002</v>
      </c>
      <c r="G102" s="13">
        <v>0.43</v>
      </c>
      <c r="H102" s="13">
        <v>14.36</v>
      </c>
      <c r="I102" s="11">
        <v>70</v>
      </c>
      <c r="J102" s="25">
        <v>0</v>
      </c>
    </row>
    <row r="103" spans="1:10" x14ac:dyDescent="0.25">
      <c r="A103" s="249" t="s">
        <v>13</v>
      </c>
      <c r="B103" s="250"/>
      <c r="C103" s="251"/>
      <c r="D103" s="10">
        <v>20</v>
      </c>
      <c r="E103" s="10" t="s">
        <v>79</v>
      </c>
      <c r="F103" s="13">
        <v>1.52</v>
      </c>
      <c r="G103" s="13">
        <v>0.16</v>
      </c>
      <c r="H103" s="13">
        <v>9.84</v>
      </c>
      <c r="I103" s="11">
        <v>46.88</v>
      </c>
      <c r="J103" s="8">
        <v>0</v>
      </c>
    </row>
    <row r="104" spans="1:10" x14ac:dyDescent="0.25">
      <c r="A104" s="243" t="s">
        <v>12</v>
      </c>
      <c r="B104" s="244"/>
      <c r="C104" s="245"/>
      <c r="D104" s="10">
        <f>D103+D102+D101+D100+D97+205+30+60</f>
        <v>646</v>
      </c>
      <c r="E104" s="10"/>
      <c r="F104" s="133">
        <f>SUM(F98:F103)</f>
        <v>25.439999999999994</v>
      </c>
      <c r="G104" s="133">
        <f>SUM(G98:G103)</f>
        <v>13.79</v>
      </c>
      <c r="H104" s="133">
        <f>SUM(H98:H103)</f>
        <v>68.38</v>
      </c>
      <c r="I104" s="9">
        <f>SUM(I98:I103)</f>
        <v>497.22</v>
      </c>
      <c r="J104" s="14">
        <f>SUM(J98:J103)</f>
        <v>53.73</v>
      </c>
    </row>
    <row r="105" spans="1:10" x14ac:dyDescent="0.25">
      <c r="A105" s="268" t="s">
        <v>37</v>
      </c>
      <c r="B105" s="268"/>
      <c r="C105" s="268"/>
      <c r="D105" s="268"/>
      <c r="E105" s="268"/>
      <c r="F105" s="268"/>
      <c r="G105" s="268"/>
      <c r="H105" s="268"/>
      <c r="I105" s="268"/>
      <c r="J105" s="11"/>
    </row>
    <row r="106" spans="1:10" ht="15" customHeight="1" x14ac:dyDescent="0.25">
      <c r="A106" s="266" t="s">
        <v>292</v>
      </c>
      <c r="B106" s="266"/>
      <c r="C106" s="266"/>
      <c r="D106" s="139" t="s">
        <v>349</v>
      </c>
      <c r="E106" s="10" t="s">
        <v>294</v>
      </c>
      <c r="F106" s="11">
        <f>19.85+0.28</f>
        <v>20.130000000000003</v>
      </c>
      <c r="G106" s="11">
        <f>8.27+0.64</f>
        <v>8.91</v>
      </c>
      <c r="H106" s="11">
        <f>38.2+1.79</f>
        <v>39.99</v>
      </c>
      <c r="I106" s="11">
        <f>303.78+14.01</f>
        <v>317.78999999999996</v>
      </c>
      <c r="J106" s="14">
        <f>5.93+0.1</f>
        <v>6.0299999999999994</v>
      </c>
    </row>
    <row r="107" spans="1:10" ht="15" customHeight="1" x14ac:dyDescent="0.25">
      <c r="A107" s="249" t="s">
        <v>13</v>
      </c>
      <c r="B107" s="250"/>
      <c r="C107" s="251"/>
      <c r="D107" s="10">
        <v>15</v>
      </c>
      <c r="E107" s="10" t="s">
        <v>81</v>
      </c>
      <c r="F107" s="13">
        <v>1.1399999999999999</v>
      </c>
      <c r="G107" s="13">
        <v>0.12</v>
      </c>
      <c r="H107" s="13">
        <v>7.38</v>
      </c>
      <c r="I107" s="11">
        <v>35.159999999999997</v>
      </c>
      <c r="J107" s="25">
        <v>0</v>
      </c>
    </row>
    <row r="108" spans="1:10" ht="14.45" customHeight="1" x14ac:dyDescent="0.25">
      <c r="A108" s="304" t="s">
        <v>46</v>
      </c>
      <c r="B108" s="304"/>
      <c r="C108" s="304"/>
      <c r="D108" s="14">
        <v>150</v>
      </c>
      <c r="E108" s="14">
        <v>255</v>
      </c>
      <c r="F108" s="9">
        <v>4.3499999999999996</v>
      </c>
      <c r="G108" s="9">
        <v>3.75</v>
      </c>
      <c r="H108" s="9">
        <v>7.2</v>
      </c>
      <c r="I108" s="9">
        <v>81</v>
      </c>
      <c r="J108" s="14">
        <v>1.95</v>
      </c>
    </row>
    <row r="109" spans="1:10" ht="24" customHeight="1" x14ac:dyDescent="0.25">
      <c r="A109" s="249" t="s">
        <v>273</v>
      </c>
      <c r="B109" s="250"/>
      <c r="C109" s="251"/>
      <c r="D109" s="10">
        <v>95</v>
      </c>
      <c r="E109" s="25" t="s">
        <v>77</v>
      </c>
      <c r="F109" s="187">
        <v>0.38</v>
      </c>
      <c r="G109" s="25">
        <v>0.38</v>
      </c>
      <c r="H109" s="25">
        <v>9.31</v>
      </c>
      <c r="I109" s="29">
        <v>42.18</v>
      </c>
      <c r="J109" s="25">
        <v>9.5</v>
      </c>
    </row>
    <row r="110" spans="1:10" ht="18.75" customHeight="1" x14ac:dyDescent="0.25">
      <c r="A110" s="243" t="s">
        <v>12</v>
      </c>
      <c r="B110" s="244"/>
      <c r="C110" s="245"/>
      <c r="D110" s="6">
        <f>D109+153+D107+122+15</f>
        <v>400</v>
      </c>
      <c r="E110" s="6"/>
      <c r="F110" s="133">
        <f>SUM(F106:F109)</f>
        <v>26.000000000000004</v>
      </c>
      <c r="G110" s="133">
        <f>SUM(G106:G109)</f>
        <v>13.16</v>
      </c>
      <c r="H110" s="133">
        <f>SUM(H106:H109)</f>
        <v>63.88000000000001</v>
      </c>
      <c r="I110" s="133">
        <f>SUM(I106:I109)</f>
        <v>476.12999999999994</v>
      </c>
      <c r="J110" s="133">
        <f>SUM(J106:J109)</f>
        <v>17.48</v>
      </c>
    </row>
    <row r="111" spans="1:10" ht="12.75" customHeight="1" thickBot="1" x14ac:dyDescent="0.3">
      <c r="A111" s="142" t="s">
        <v>14</v>
      </c>
      <c r="B111" s="143"/>
      <c r="C111" s="143"/>
      <c r="D111" s="144"/>
      <c r="E111" s="145"/>
      <c r="F111" s="146">
        <f>F90+F95+F104+F110</f>
        <v>69.209999999999994</v>
      </c>
      <c r="G111" s="146">
        <f>G90+G95+G104+G110</f>
        <v>46.480000000000004</v>
      </c>
      <c r="H111" s="146">
        <f>H90+H95+H104+H110</f>
        <v>193.47000000000003</v>
      </c>
      <c r="I111" s="146">
        <f>I90+I95+I104+I110</f>
        <v>1469.01</v>
      </c>
      <c r="J111" s="146">
        <f>J90+J95+J104+J110</f>
        <v>100.07000000000001</v>
      </c>
    </row>
    <row r="112" spans="1:10" ht="37.9" customHeight="1" x14ac:dyDescent="0.25">
      <c r="A112" s="269" t="s">
        <v>0</v>
      </c>
      <c r="B112" s="269"/>
      <c r="C112" s="269"/>
      <c r="D112" s="6" t="s">
        <v>1</v>
      </c>
      <c r="E112" s="6" t="s">
        <v>2</v>
      </c>
      <c r="F112" s="133" t="s">
        <v>3</v>
      </c>
      <c r="G112" s="133" t="s">
        <v>4</v>
      </c>
      <c r="H112" s="133" t="s">
        <v>28</v>
      </c>
      <c r="I112" s="157" t="s">
        <v>75</v>
      </c>
      <c r="J112" s="6" t="s">
        <v>76</v>
      </c>
    </row>
    <row r="113" spans="1:10" x14ac:dyDescent="0.25">
      <c r="A113" s="269" t="s">
        <v>5</v>
      </c>
      <c r="B113" s="269"/>
      <c r="C113" s="269"/>
      <c r="D113" s="269"/>
      <c r="E113" s="269"/>
      <c r="F113" s="269"/>
      <c r="G113" s="269"/>
      <c r="H113" s="269"/>
      <c r="I113" s="269"/>
      <c r="J113" s="269"/>
    </row>
    <row r="114" spans="1:10" ht="13.15" customHeight="1" x14ac:dyDescent="0.25">
      <c r="A114" s="269" t="s">
        <v>20</v>
      </c>
      <c r="B114" s="269"/>
      <c r="C114" s="269"/>
      <c r="D114" s="269"/>
      <c r="E114" s="269"/>
      <c r="F114" s="269"/>
      <c r="G114" s="269"/>
      <c r="H114" s="269"/>
      <c r="I114" s="269"/>
      <c r="J114" s="269"/>
    </row>
    <row r="115" spans="1:10" ht="12" customHeight="1" x14ac:dyDescent="0.25">
      <c r="A115" s="269" t="s">
        <v>9</v>
      </c>
      <c r="B115" s="269"/>
      <c r="C115" s="269"/>
      <c r="D115" s="269"/>
      <c r="E115" s="269"/>
      <c r="F115" s="269"/>
      <c r="G115" s="269"/>
      <c r="H115" s="269"/>
      <c r="I115" s="269"/>
      <c r="J115" s="269"/>
    </row>
    <row r="116" spans="1:10" ht="27.6" customHeight="1" x14ac:dyDescent="0.25">
      <c r="A116" s="280" t="s">
        <v>182</v>
      </c>
      <c r="B116" s="280"/>
      <c r="C116" s="280"/>
      <c r="D116" s="24" t="s">
        <v>69</v>
      </c>
      <c r="E116" s="24">
        <v>93.200500000000005</v>
      </c>
      <c r="F116" s="25">
        <v>4.8099999999999996</v>
      </c>
      <c r="G116" s="25">
        <v>6.14</v>
      </c>
      <c r="H116" s="25">
        <v>19.239999999999998</v>
      </c>
      <c r="I116" s="29">
        <v>152.06</v>
      </c>
      <c r="J116" s="25">
        <v>1.4</v>
      </c>
    </row>
    <row r="117" spans="1:10" x14ac:dyDescent="0.25">
      <c r="A117" s="249" t="s">
        <v>151</v>
      </c>
      <c r="B117" s="250"/>
      <c r="C117" s="251"/>
      <c r="D117" s="10">
        <v>180</v>
      </c>
      <c r="E117" s="10" t="s">
        <v>248</v>
      </c>
      <c r="F117" s="11">
        <v>5.22</v>
      </c>
      <c r="G117" s="11">
        <v>4.5</v>
      </c>
      <c r="H117" s="11">
        <v>21.14</v>
      </c>
      <c r="I117" s="11">
        <v>147.19</v>
      </c>
      <c r="J117" s="10">
        <v>2.34</v>
      </c>
    </row>
    <row r="118" spans="1:10" ht="16.899999999999999" customHeight="1" x14ac:dyDescent="0.25">
      <c r="A118" s="298" t="s">
        <v>314</v>
      </c>
      <c r="B118" s="299"/>
      <c r="C118" s="300"/>
      <c r="D118" s="135" t="s">
        <v>260</v>
      </c>
      <c r="E118" s="10" t="s">
        <v>144</v>
      </c>
      <c r="F118" s="13">
        <v>3.51</v>
      </c>
      <c r="G118" s="13">
        <v>6.21</v>
      </c>
      <c r="H118" s="13">
        <v>10.17</v>
      </c>
      <c r="I118" s="11">
        <v>111.5</v>
      </c>
      <c r="J118" s="14">
        <v>0.05</v>
      </c>
    </row>
    <row r="119" spans="1:10" x14ac:dyDescent="0.25">
      <c r="A119" s="243" t="s">
        <v>12</v>
      </c>
      <c r="B119" s="244"/>
      <c r="C119" s="245"/>
      <c r="D119" s="10">
        <f>15+7+6+D117+154</f>
        <v>362</v>
      </c>
      <c r="E119" s="10"/>
      <c r="F119" s="133">
        <f>SUM(F116:F118)</f>
        <v>13.54</v>
      </c>
      <c r="G119" s="133">
        <f t="shared" ref="G119:J119" si="2">SUM(G116:G118)</f>
        <v>16.850000000000001</v>
      </c>
      <c r="H119" s="133">
        <f t="shared" si="2"/>
        <v>50.55</v>
      </c>
      <c r="I119" s="133">
        <f t="shared" si="2"/>
        <v>410.75</v>
      </c>
      <c r="J119" s="133">
        <f t="shared" si="2"/>
        <v>3.7899999999999996</v>
      </c>
    </row>
    <row r="120" spans="1:10" ht="12" customHeight="1" x14ac:dyDescent="0.25">
      <c r="A120" s="269" t="s">
        <v>8</v>
      </c>
      <c r="B120" s="269"/>
      <c r="C120" s="269"/>
      <c r="D120" s="269"/>
      <c r="E120" s="269"/>
      <c r="F120" s="269"/>
      <c r="G120" s="269"/>
      <c r="H120" s="269"/>
      <c r="I120" s="269"/>
      <c r="J120" s="6"/>
    </row>
    <row r="121" spans="1:10" ht="15" customHeight="1" x14ac:dyDescent="0.25">
      <c r="A121" s="249" t="s">
        <v>273</v>
      </c>
      <c r="B121" s="250"/>
      <c r="C121" s="251"/>
      <c r="D121" s="14">
        <v>110</v>
      </c>
      <c r="E121" s="10" t="s">
        <v>77</v>
      </c>
      <c r="F121" s="13">
        <v>1.65</v>
      </c>
      <c r="G121" s="13">
        <v>0.11</v>
      </c>
      <c r="H121" s="13">
        <v>21.12</v>
      </c>
      <c r="I121" s="11">
        <v>97.9</v>
      </c>
      <c r="J121" s="25">
        <v>10</v>
      </c>
    </row>
    <row r="122" spans="1:10" x14ac:dyDescent="0.25">
      <c r="A122" s="243" t="s">
        <v>12</v>
      </c>
      <c r="B122" s="244"/>
      <c r="C122" s="245"/>
      <c r="D122" s="10">
        <f>SUM(D121)</f>
        <v>110</v>
      </c>
      <c r="E122" s="10"/>
      <c r="F122" s="133">
        <f>SUM(F121:F121)</f>
        <v>1.65</v>
      </c>
      <c r="G122" s="133">
        <f>SUM(G121:G121)</f>
        <v>0.11</v>
      </c>
      <c r="H122" s="133">
        <f>SUM(H121:H121)</f>
        <v>21.12</v>
      </c>
      <c r="I122" s="9">
        <f>SUM(I121:I121)</f>
        <v>97.9</v>
      </c>
      <c r="J122" s="133">
        <f>SUM(J121:J121)</f>
        <v>10</v>
      </c>
    </row>
    <row r="123" spans="1:10" x14ac:dyDescent="0.25">
      <c r="A123" s="269" t="s">
        <v>11</v>
      </c>
      <c r="B123" s="269"/>
      <c r="C123" s="269"/>
      <c r="D123" s="269"/>
      <c r="E123" s="269"/>
      <c r="F123" s="269"/>
      <c r="G123" s="269"/>
      <c r="H123" s="269"/>
      <c r="I123" s="269"/>
      <c r="J123" s="10"/>
    </row>
    <row r="124" spans="1:10" ht="15" customHeight="1" x14ac:dyDescent="0.25">
      <c r="A124" s="298" t="s">
        <v>326</v>
      </c>
      <c r="B124" s="299"/>
      <c r="C124" s="300"/>
      <c r="D124" s="24">
        <v>45</v>
      </c>
      <c r="E124" s="24">
        <v>1.2004999999999999</v>
      </c>
      <c r="F124" s="33">
        <v>0.6</v>
      </c>
      <c r="G124" s="33">
        <v>4.08</v>
      </c>
      <c r="H124" s="33">
        <v>3.74</v>
      </c>
      <c r="I124" s="33">
        <v>54.07</v>
      </c>
      <c r="J124" s="14">
        <v>4.47</v>
      </c>
    </row>
    <row r="125" spans="1:10" ht="27.6" customHeight="1" x14ac:dyDescent="0.25">
      <c r="A125" s="280" t="s">
        <v>167</v>
      </c>
      <c r="B125" s="280"/>
      <c r="C125" s="280"/>
      <c r="D125" s="26" t="s">
        <v>262</v>
      </c>
      <c r="E125" s="24">
        <v>38.200400000000002</v>
      </c>
      <c r="F125" s="25">
        <v>4.29</v>
      </c>
      <c r="G125" s="25">
        <v>3.29</v>
      </c>
      <c r="H125" s="25">
        <v>16.73</v>
      </c>
      <c r="I125" s="29">
        <v>113.32</v>
      </c>
      <c r="J125" s="25">
        <v>13.41</v>
      </c>
    </row>
    <row r="126" spans="1:10" x14ac:dyDescent="0.25">
      <c r="A126" s="249" t="s">
        <v>211</v>
      </c>
      <c r="B126" s="250"/>
      <c r="C126" s="251"/>
      <c r="D126" s="10" t="s">
        <v>212</v>
      </c>
      <c r="E126" s="10" t="s">
        <v>236</v>
      </c>
      <c r="F126" s="11">
        <v>6.55</v>
      </c>
      <c r="G126" s="11">
        <v>7</v>
      </c>
      <c r="H126" s="11">
        <v>11.91</v>
      </c>
      <c r="I126" s="11">
        <v>137.15</v>
      </c>
      <c r="J126" s="10">
        <v>2</v>
      </c>
    </row>
    <row r="127" spans="1:10" x14ac:dyDescent="0.25">
      <c r="A127" s="249" t="s">
        <v>16</v>
      </c>
      <c r="B127" s="250"/>
      <c r="C127" s="251"/>
      <c r="D127" s="24">
        <v>100</v>
      </c>
      <c r="E127" s="24">
        <v>206.20050000000001</v>
      </c>
      <c r="F127" s="29">
        <v>2.14</v>
      </c>
      <c r="G127" s="29">
        <v>2.39</v>
      </c>
      <c r="H127" s="29">
        <v>14.44</v>
      </c>
      <c r="I127" s="29">
        <v>87.81</v>
      </c>
      <c r="J127" s="25">
        <v>17</v>
      </c>
    </row>
    <row r="128" spans="1:10" x14ac:dyDescent="0.25">
      <c r="A128" s="15" t="s">
        <v>247</v>
      </c>
      <c r="B128" s="15"/>
      <c r="C128" s="15"/>
      <c r="D128" s="24">
        <v>150</v>
      </c>
      <c r="E128" s="24" t="s">
        <v>234</v>
      </c>
      <c r="F128" s="25">
        <v>0.27</v>
      </c>
      <c r="G128" s="25">
        <v>0.06</v>
      </c>
      <c r="H128" s="25">
        <v>9.99</v>
      </c>
      <c r="I128" s="29">
        <v>70.930000000000007</v>
      </c>
      <c r="J128" s="25">
        <v>0.39</v>
      </c>
    </row>
    <row r="129" spans="1:10" x14ac:dyDescent="0.25">
      <c r="A129" s="136" t="s">
        <v>23</v>
      </c>
      <c r="B129" s="137"/>
      <c r="C129" s="138"/>
      <c r="D129" s="10">
        <v>36</v>
      </c>
      <c r="E129" s="10" t="s">
        <v>80</v>
      </c>
      <c r="F129" s="13">
        <v>2.2000000000000002</v>
      </c>
      <c r="G129" s="13">
        <v>0.43</v>
      </c>
      <c r="H129" s="13">
        <v>14.36</v>
      </c>
      <c r="I129" s="11">
        <v>70</v>
      </c>
      <c r="J129" s="25">
        <v>0</v>
      </c>
    </row>
    <row r="130" spans="1:10" x14ac:dyDescent="0.25">
      <c r="A130" s="249" t="s">
        <v>13</v>
      </c>
      <c r="B130" s="250"/>
      <c r="C130" s="251"/>
      <c r="D130" s="10">
        <v>15</v>
      </c>
      <c r="E130" s="10" t="s">
        <v>81</v>
      </c>
      <c r="F130" s="13">
        <v>1.1399999999999999</v>
      </c>
      <c r="G130" s="13">
        <v>0.12</v>
      </c>
      <c r="H130" s="13">
        <v>7.38</v>
      </c>
      <c r="I130" s="11">
        <v>35.159999999999997</v>
      </c>
      <c r="J130" s="25">
        <v>0</v>
      </c>
    </row>
    <row r="131" spans="1:10" x14ac:dyDescent="0.25">
      <c r="A131" s="243" t="s">
        <v>12</v>
      </c>
      <c r="B131" s="244"/>
      <c r="C131" s="245"/>
      <c r="D131" s="10">
        <f>D124+200+8.5+70+25+D127+D128+D129+D130</f>
        <v>649.5</v>
      </c>
      <c r="E131" s="10"/>
      <c r="F131" s="133">
        <f>SUM(F124:F130)</f>
        <v>17.190000000000001</v>
      </c>
      <c r="G131" s="133">
        <f t="shared" ref="G131:J131" si="3">SUM(G124:G130)</f>
        <v>17.37</v>
      </c>
      <c r="H131" s="133">
        <f t="shared" si="3"/>
        <v>78.549999999999983</v>
      </c>
      <c r="I131" s="133">
        <f t="shared" si="3"/>
        <v>568.43999999999994</v>
      </c>
      <c r="J131" s="133">
        <f t="shared" si="3"/>
        <v>37.269999999999996</v>
      </c>
    </row>
    <row r="132" spans="1:10" ht="10.9" customHeight="1" x14ac:dyDescent="0.25">
      <c r="A132" s="268" t="s">
        <v>37</v>
      </c>
      <c r="B132" s="268"/>
      <c r="C132" s="268"/>
      <c r="D132" s="268"/>
      <c r="E132" s="268"/>
      <c r="F132" s="268"/>
      <c r="G132" s="268"/>
      <c r="H132" s="268"/>
      <c r="I132" s="268"/>
      <c r="J132" s="10"/>
    </row>
    <row r="133" spans="1:10" ht="15" customHeight="1" x14ac:dyDescent="0.25">
      <c r="A133" s="266" t="s">
        <v>295</v>
      </c>
      <c r="B133" s="266"/>
      <c r="C133" s="266"/>
      <c r="D133" s="139">
        <v>130</v>
      </c>
      <c r="E133" s="10">
        <v>68</v>
      </c>
      <c r="F133" s="11">
        <v>1.76</v>
      </c>
      <c r="G133" s="11">
        <v>2.97</v>
      </c>
      <c r="H133" s="11">
        <v>10.56</v>
      </c>
      <c r="I133" s="11">
        <v>72.83</v>
      </c>
      <c r="J133" s="14">
        <v>12.16</v>
      </c>
    </row>
    <row r="134" spans="1:10" ht="15" customHeight="1" x14ac:dyDescent="0.25">
      <c r="A134" s="136" t="s">
        <v>13</v>
      </c>
      <c r="B134" s="137"/>
      <c r="C134" s="179"/>
      <c r="D134" s="10">
        <v>20</v>
      </c>
      <c r="E134" s="10" t="s">
        <v>79</v>
      </c>
      <c r="F134" s="13">
        <v>1.52</v>
      </c>
      <c r="G134" s="13">
        <v>0.16</v>
      </c>
      <c r="H134" s="13">
        <v>9.84</v>
      </c>
      <c r="I134" s="11">
        <v>46.88</v>
      </c>
      <c r="J134" s="25">
        <v>0</v>
      </c>
    </row>
    <row r="135" spans="1:10" x14ac:dyDescent="0.25">
      <c r="A135" s="249" t="s">
        <v>257</v>
      </c>
      <c r="B135" s="250"/>
      <c r="C135" s="251"/>
      <c r="D135" s="24">
        <v>80</v>
      </c>
      <c r="E135" s="24">
        <v>779</v>
      </c>
      <c r="F135" s="25">
        <v>5.67</v>
      </c>
      <c r="G135" s="25">
        <v>7.58</v>
      </c>
      <c r="H135" s="25">
        <v>47.13</v>
      </c>
      <c r="I135" s="25">
        <v>279.33</v>
      </c>
      <c r="J135" s="25">
        <v>0</v>
      </c>
    </row>
    <row r="136" spans="1:10" x14ac:dyDescent="0.25">
      <c r="A136" s="249" t="s">
        <v>285</v>
      </c>
      <c r="B136" s="250"/>
      <c r="C136" s="251"/>
      <c r="D136" s="10" t="s">
        <v>350</v>
      </c>
      <c r="E136" s="10">
        <v>251</v>
      </c>
      <c r="F136" s="13">
        <v>4.8099999999999996</v>
      </c>
      <c r="G136" s="13">
        <v>5.31</v>
      </c>
      <c r="H136" s="13">
        <f>6.64+2.99</f>
        <v>9.629999999999999</v>
      </c>
      <c r="I136" s="11">
        <f>93.62+11.98</f>
        <v>105.60000000000001</v>
      </c>
      <c r="J136" s="14">
        <v>1.1599999999999999</v>
      </c>
    </row>
    <row r="137" spans="1:10" x14ac:dyDescent="0.25">
      <c r="A137" s="249" t="s">
        <v>38</v>
      </c>
      <c r="B137" s="250"/>
      <c r="C137" s="251"/>
      <c r="D137" s="10">
        <v>10</v>
      </c>
      <c r="E137" s="10" t="s">
        <v>85</v>
      </c>
      <c r="F137" s="13">
        <v>0.77</v>
      </c>
      <c r="G137" s="13">
        <v>1.1000000000000001</v>
      </c>
      <c r="H137" s="13">
        <v>7.1</v>
      </c>
      <c r="I137" s="11">
        <v>41.41</v>
      </c>
      <c r="J137" s="6">
        <v>0</v>
      </c>
    </row>
    <row r="138" spans="1:10" ht="19.5" customHeight="1" x14ac:dyDescent="0.25">
      <c r="A138" s="237" t="s">
        <v>12</v>
      </c>
      <c r="B138" s="238"/>
      <c r="C138" s="239"/>
      <c r="D138" s="8">
        <f>D137+163+D135+D134+D133</f>
        <v>403</v>
      </c>
      <c r="E138" s="8"/>
      <c r="F138" s="9">
        <f>SUM(F133:F137)</f>
        <v>14.529999999999998</v>
      </c>
      <c r="G138" s="9">
        <f t="shared" ref="G138:J138" si="4">SUM(G133:G137)</f>
        <v>17.12</v>
      </c>
      <c r="H138" s="9">
        <f t="shared" si="4"/>
        <v>84.259999999999991</v>
      </c>
      <c r="I138" s="9">
        <f t="shared" si="4"/>
        <v>546.04999999999995</v>
      </c>
      <c r="J138" s="9">
        <f t="shared" si="4"/>
        <v>13.32</v>
      </c>
    </row>
    <row r="139" spans="1:10" ht="26.25" customHeight="1" x14ac:dyDescent="0.25">
      <c r="A139" s="237" t="s">
        <v>14</v>
      </c>
      <c r="B139" s="238"/>
      <c r="C139" s="239"/>
      <c r="D139" s="8"/>
      <c r="E139" s="8"/>
      <c r="F139" s="9">
        <f>F119+F122+F131+F138</f>
        <v>46.91</v>
      </c>
      <c r="G139" s="9">
        <f>G119+G122+G131+G138</f>
        <v>51.45</v>
      </c>
      <c r="H139" s="9">
        <f>H119+H122+H131+H138</f>
        <v>234.47999999999996</v>
      </c>
      <c r="I139" s="9">
        <f>I119+I122+I131+I138</f>
        <v>1623.1399999999999</v>
      </c>
      <c r="J139" s="9">
        <f>J119+J122+J131+J138</f>
        <v>64.38</v>
      </c>
    </row>
    <row r="140" spans="1:10" ht="39" x14ac:dyDescent="0.25">
      <c r="A140" s="269" t="s">
        <v>0</v>
      </c>
      <c r="B140" s="269"/>
      <c r="C140" s="269"/>
      <c r="D140" s="172" t="s">
        <v>1</v>
      </c>
      <c r="E140" s="172" t="s">
        <v>2</v>
      </c>
      <c r="F140" s="22" t="s">
        <v>3</v>
      </c>
      <c r="G140" s="22" t="s">
        <v>4</v>
      </c>
      <c r="H140" s="22" t="s">
        <v>28</v>
      </c>
      <c r="I140" s="158" t="s">
        <v>75</v>
      </c>
      <c r="J140" s="22" t="s">
        <v>76</v>
      </c>
    </row>
    <row r="141" spans="1:10" x14ac:dyDescent="0.25">
      <c r="A141" s="268" t="s">
        <v>21</v>
      </c>
      <c r="B141" s="268"/>
      <c r="C141" s="268"/>
      <c r="D141" s="268"/>
      <c r="E141" s="268"/>
      <c r="F141" s="268"/>
      <c r="G141" s="268"/>
      <c r="H141" s="268"/>
      <c r="I141" s="268"/>
      <c r="J141" s="268"/>
    </row>
    <row r="142" spans="1:10" x14ac:dyDescent="0.25">
      <c r="A142" s="268" t="s">
        <v>6</v>
      </c>
      <c r="B142" s="268"/>
      <c r="C142" s="268"/>
      <c r="D142" s="268"/>
      <c r="E142" s="268"/>
      <c r="F142" s="268"/>
      <c r="G142" s="268"/>
      <c r="H142" s="268"/>
      <c r="I142" s="268"/>
      <c r="J142" s="268"/>
    </row>
    <row r="143" spans="1:10" x14ac:dyDescent="0.25">
      <c r="A143" s="268" t="s">
        <v>9</v>
      </c>
      <c r="B143" s="268"/>
      <c r="C143" s="268"/>
      <c r="D143" s="268"/>
      <c r="E143" s="268"/>
      <c r="F143" s="268"/>
      <c r="G143" s="268"/>
      <c r="H143" s="268"/>
      <c r="I143" s="268"/>
      <c r="J143" s="268"/>
    </row>
    <row r="144" spans="1:10" ht="31.15" customHeight="1" x14ac:dyDescent="0.25">
      <c r="A144" s="270" t="s">
        <v>351</v>
      </c>
      <c r="B144" s="270"/>
      <c r="C144" s="270"/>
      <c r="D144" s="24" t="s">
        <v>69</v>
      </c>
      <c r="E144" s="24">
        <v>90.200500000000005</v>
      </c>
      <c r="F144" s="25">
        <v>4.4000000000000004</v>
      </c>
      <c r="G144" s="25">
        <v>5.09</v>
      </c>
      <c r="H144" s="25">
        <v>21.73</v>
      </c>
      <c r="I144" s="29">
        <v>150.86000000000001</v>
      </c>
      <c r="J144" s="25">
        <v>1.03</v>
      </c>
    </row>
    <row r="145" spans="1:10" ht="14.45" customHeight="1" x14ac:dyDescent="0.25">
      <c r="A145" s="249" t="s">
        <v>22</v>
      </c>
      <c r="B145" s="250"/>
      <c r="C145" s="251"/>
      <c r="D145" s="10">
        <v>180</v>
      </c>
      <c r="E145" s="10" t="s">
        <v>246</v>
      </c>
      <c r="F145" s="11">
        <v>1.22</v>
      </c>
      <c r="G145" s="11">
        <v>1.05</v>
      </c>
      <c r="H145" s="11">
        <v>12.01</v>
      </c>
      <c r="I145" s="11">
        <v>62.65</v>
      </c>
      <c r="J145" s="10">
        <v>0.55000000000000004</v>
      </c>
    </row>
    <row r="146" spans="1:10" ht="16.899999999999999" customHeight="1" x14ac:dyDescent="0.25">
      <c r="A146" s="298" t="s">
        <v>314</v>
      </c>
      <c r="B146" s="299"/>
      <c r="C146" s="300"/>
      <c r="D146" s="135" t="s">
        <v>260</v>
      </c>
      <c r="E146" s="10" t="s">
        <v>144</v>
      </c>
      <c r="F146" s="13">
        <v>3.51</v>
      </c>
      <c r="G146" s="13">
        <v>6.21</v>
      </c>
      <c r="H146" s="13">
        <v>10.17</v>
      </c>
      <c r="I146" s="11">
        <v>111.5</v>
      </c>
      <c r="J146" s="14">
        <v>0.05</v>
      </c>
    </row>
    <row r="147" spans="1:10" x14ac:dyDescent="0.25">
      <c r="A147" s="243" t="s">
        <v>12</v>
      </c>
      <c r="B147" s="244"/>
      <c r="C147" s="245"/>
      <c r="D147" s="24">
        <f>154+D145+20+5+7.5</f>
        <v>366.5</v>
      </c>
      <c r="E147" s="24"/>
      <c r="F147" s="22">
        <f>SUM(F144:F146)</f>
        <v>9.129999999999999</v>
      </c>
      <c r="G147" s="22">
        <f t="shared" ref="G147:J147" si="5">SUM(G144:G146)</f>
        <v>12.35</v>
      </c>
      <c r="H147" s="22">
        <f t="shared" si="5"/>
        <v>43.910000000000004</v>
      </c>
      <c r="I147" s="22">
        <f t="shared" si="5"/>
        <v>325.01</v>
      </c>
      <c r="J147" s="22">
        <f t="shared" si="5"/>
        <v>1.6300000000000001</v>
      </c>
    </row>
    <row r="148" spans="1:10" x14ac:dyDescent="0.25">
      <c r="A148" s="268" t="s">
        <v>8</v>
      </c>
      <c r="B148" s="268"/>
      <c r="C148" s="268"/>
      <c r="D148" s="268"/>
      <c r="E148" s="268"/>
      <c r="F148" s="268"/>
      <c r="G148" s="268"/>
      <c r="H148" s="268"/>
      <c r="I148" s="268"/>
      <c r="J148" s="25"/>
    </row>
    <row r="149" spans="1:10" x14ac:dyDescent="0.25">
      <c r="A149" s="249" t="s">
        <v>38</v>
      </c>
      <c r="B149" s="250"/>
      <c r="C149" s="251"/>
      <c r="D149" s="10">
        <v>10</v>
      </c>
      <c r="E149" s="10" t="s">
        <v>85</v>
      </c>
      <c r="F149" s="13">
        <v>0.77</v>
      </c>
      <c r="G149" s="13">
        <v>1.1000000000000001</v>
      </c>
      <c r="H149" s="13">
        <v>7.1</v>
      </c>
      <c r="I149" s="11">
        <v>41.41</v>
      </c>
      <c r="J149" s="6">
        <v>0</v>
      </c>
    </row>
    <row r="150" spans="1:10" x14ac:dyDescent="0.25">
      <c r="A150" s="249" t="s">
        <v>61</v>
      </c>
      <c r="B150" s="250"/>
      <c r="C150" s="251"/>
      <c r="D150" s="24">
        <v>180</v>
      </c>
      <c r="E150" s="24" t="s">
        <v>245</v>
      </c>
      <c r="F150" s="25">
        <v>0.9</v>
      </c>
      <c r="G150" s="25">
        <v>0.18</v>
      </c>
      <c r="H150" s="25">
        <v>18.18</v>
      </c>
      <c r="I150" s="25">
        <v>77.94</v>
      </c>
      <c r="J150" s="25">
        <v>3.6</v>
      </c>
    </row>
    <row r="151" spans="1:10" x14ac:dyDescent="0.25">
      <c r="A151" s="243" t="s">
        <v>12</v>
      </c>
      <c r="B151" s="244"/>
      <c r="C151" s="245"/>
      <c r="D151" s="6">
        <f>SUM(D149:D150)</f>
        <v>190</v>
      </c>
      <c r="E151" s="10"/>
      <c r="F151" s="133">
        <f>SUM(F149:F150)</f>
        <v>1.67</v>
      </c>
      <c r="G151" s="133">
        <f t="shared" ref="G151:J151" si="6">SUM(G149:G150)</f>
        <v>1.28</v>
      </c>
      <c r="H151" s="133">
        <f t="shared" si="6"/>
        <v>25.28</v>
      </c>
      <c r="I151" s="9">
        <f t="shared" si="6"/>
        <v>119.35</v>
      </c>
      <c r="J151" s="133">
        <f t="shared" si="6"/>
        <v>3.6</v>
      </c>
    </row>
    <row r="152" spans="1:10" ht="12" customHeight="1" x14ac:dyDescent="0.25">
      <c r="A152" s="268" t="s">
        <v>11</v>
      </c>
      <c r="B152" s="268"/>
      <c r="C152" s="268"/>
      <c r="D152" s="268"/>
      <c r="E152" s="268"/>
      <c r="F152" s="268"/>
      <c r="G152" s="268"/>
      <c r="H152" s="268"/>
      <c r="I152" s="268"/>
      <c r="J152" s="25"/>
    </row>
    <row r="153" spans="1:10" ht="12" customHeight="1" x14ac:dyDescent="0.25">
      <c r="A153" s="249" t="s">
        <v>254</v>
      </c>
      <c r="B153" s="250"/>
      <c r="C153" s="251"/>
      <c r="D153" s="24">
        <v>45</v>
      </c>
      <c r="E153" s="33" t="s">
        <v>198</v>
      </c>
      <c r="F153" s="176">
        <v>0.61</v>
      </c>
      <c r="G153" s="176">
        <v>2.7</v>
      </c>
      <c r="H153" s="176">
        <v>2.17</v>
      </c>
      <c r="I153" s="176">
        <v>33.19</v>
      </c>
      <c r="J153" s="25">
        <v>14.74</v>
      </c>
    </row>
    <row r="154" spans="1:10" ht="24.75" customHeight="1" x14ac:dyDescent="0.25">
      <c r="A154" s="327" t="s">
        <v>327</v>
      </c>
      <c r="B154" s="327"/>
      <c r="C154" s="327"/>
      <c r="D154" s="14">
        <v>45</v>
      </c>
      <c r="E154" s="8">
        <v>73.05</v>
      </c>
      <c r="F154" s="176">
        <v>0.61</v>
      </c>
      <c r="G154" s="176">
        <v>2.7</v>
      </c>
      <c r="H154" s="176">
        <v>2.17</v>
      </c>
      <c r="I154" s="176">
        <v>33.19</v>
      </c>
      <c r="J154" s="25">
        <v>14.74</v>
      </c>
    </row>
    <row r="155" spans="1:10" ht="30.6" customHeight="1" x14ac:dyDescent="0.25">
      <c r="A155" s="327" t="s">
        <v>328</v>
      </c>
      <c r="B155" s="327"/>
      <c r="C155" s="327"/>
      <c r="D155" s="139" t="s">
        <v>56</v>
      </c>
      <c r="E155" s="10">
        <v>138.04</v>
      </c>
      <c r="F155" s="13">
        <v>19.88</v>
      </c>
      <c r="G155" s="13">
        <v>3.43</v>
      </c>
      <c r="H155" s="13">
        <v>13.5</v>
      </c>
      <c r="I155" s="11">
        <v>96.35</v>
      </c>
      <c r="J155" s="10">
        <v>13.25</v>
      </c>
    </row>
    <row r="156" spans="1:10" x14ac:dyDescent="0.25">
      <c r="A156" s="249" t="s">
        <v>296</v>
      </c>
      <c r="B156" s="250"/>
      <c r="C156" s="251"/>
      <c r="D156" s="10">
        <v>50</v>
      </c>
      <c r="E156" s="10">
        <v>297.16000000000003</v>
      </c>
      <c r="F156" s="11">
        <v>11.07</v>
      </c>
      <c r="G156" s="11">
        <v>11.05</v>
      </c>
      <c r="H156" s="11">
        <v>4.07</v>
      </c>
      <c r="I156" s="11">
        <v>161.94</v>
      </c>
      <c r="J156" s="10">
        <v>0.26</v>
      </c>
    </row>
    <row r="157" spans="1:10" x14ac:dyDescent="0.25">
      <c r="A157" s="324" t="s">
        <v>297</v>
      </c>
      <c r="B157" s="325"/>
      <c r="C157" s="326"/>
      <c r="D157" s="33">
        <v>100</v>
      </c>
      <c r="E157" s="10">
        <v>212</v>
      </c>
      <c r="F157" s="29">
        <v>1.49</v>
      </c>
      <c r="G157" s="29">
        <v>1.56</v>
      </c>
      <c r="H157" s="29">
        <v>8.83</v>
      </c>
      <c r="I157" s="29">
        <v>55.29</v>
      </c>
      <c r="J157" s="25">
        <v>5.65</v>
      </c>
    </row>
    <row r="158" spans="1:10" ht="25.9" customHeight="1" x14ac:dyDescent="0.25">
      <c r="A158" s="250" t="s">
        <v>249</v>
      </c>
      <c r="B158" s="250"/>
      <c r="C158" s="251"/>
      <c r="D158" s="10">
        <v>150</v>
      </c>
      <c r="E158" s="24">
        <v>241.05</v>
      </c>
      <c r="F158" s="13">
        <v>0.12</v>
      </c>
      <c r="G158" s="13">
        <v>0.12</v>
      </c>
      <c r="H158" s="13">
        <v>12.92</v>
      </c>
      <c r="I158" s="11">
        <v>53.24</v>
      </c>
      <c r="J158" s="25">
        <v>3</v>
      </c>
    </row>
    <row r="159" spans="1:10" x14ac:dyDescent="0.25">
      <c r="A159" s="136" t="s">
        <v>23</v>
      </c>
      <c r="B159" s="137"/>
      <c r="C159" s="138"/>
      <c r="D159" s="10">
        <v>36</v>
      </c>
      <c r="E159" s="10" t="s">
        <v>80</v>
      </c>
      <c r="F159" s="13">
        <v>2.2000000000000002</v>
      </c>
      <c r="G159" s="13">
        <v>0.43</v>
      </c>
      <c r="H159" s="13">
        <v>14.36</v>
      </c>
      <c r="I159" s="11">
        <v>70</v>
      </c>
      <c r="J159" s="25">
        <v>0</v>
      </c>
    </row>
    <row r="160" spans="1:10" x14ac:dyDescent="0.25">
      <c r="A160" s="249" t="s">
        <v>13</v>
      </c>
      <c r="B160" s="250"/>
      <c r="C160" s="251"/>
      <c r="D160" s="10">
        <v>15</v>
      </c>
      <c r="E160" s="10" t="s">
        <v>79</v>
      </c>
      <c r="F160" s="13">
        <v>1.1399999999999999</v>
      </c>
      <c r="G160" s="13">
        <v>0.12</v>
      </c>
      <c r="H160" s="13">
        <v>7.38</v>
      </c>
      <c r="I160" s="11">
        <v>35.159999999999997</v>
      </c>
      <c r="J160" s="25">
        <v>0</v>
      </c>
    </row>
    <row r="161" spans="1:10" x14ac:dyDescent="0.25">
      <c r="A161" s="243" t="s">
        <v>12</v>
      </c>
      <c r="B161" s="244"/>
      <c r="C161" s="245"/>
      <c r="D161" s="24">
        <f>D160+D159+D158+D157+D156+D154+205</f>
        <v>601</v>
      </c>
      <c r="E161" s="24"/>
      <c r="F161" s="22">
        <f>SUM(F155:F160)</f>
        <v>35.9</v>
      </c>
      <c r="G161" s="22">
        <f>SUM(G155:G160)</f>
        <v>16.71</v>
      </c>
      <c r="H161" s="22">
        <f>SUM(H155:H160)</f>
        <v>61.06</v>
      </c>
      <c r="I161" s="28">
        <f>SUM(I155:I160)</f>
        <v>471.98</v>
      </c>
      <c r="J161" s="22">
        <f>SUM(J155:J160)</f>
        <v>22.16</v>
      </c>
    </row>
    <row r="162" spans="1:10" x14ac:dyDescent="0.25">
      <c r="A162" s="268" t="s">
        <v>37</v>
      </c>
      <c r="B162" s="268"/>
      <c r="C162" s="268"/>
      <c r="D162" s="268"/>
      <c r="E162" s="268"/>
      <c r="F162" s="268"/>
      <c r="G162" s="268"/>
      <c r="H162" s="268"/>
      <c r="I162" s="268"/>
      <c r="J162" s="25"/>
    </row>
    <row r="163" spans="1:10" x14ac:dyDescent="0.25">
      <c r="A163" s="249" t="s">
        <v>273</v>
      </c>
      <c r="B163" s="250"/>
      <c r="C163" s="251"/>
      <c r="D163" s="24">
        <v>100</v>
      </c>
      <c r="E163" s="24" t="s">
        <v>77</v>
      </c>
      <c r="F163" s="25">
        <v>0.4</v>
      </c>
      <c r="G163" s="25">
        <v>0.4</v>
      </c>
      <c r="H163" s="25">
        <v>9.8000000000000007</v>
      </c>
      <c r="I163" s="29">
        <v>44.4</v>
      </c>
      <c r="J163" s="25">
        <v>10</v>
      </c>
    </row>
    <row r="164" spans="1:10" x14ac:dyDescent="0.25">
      <c r="A164" s="249" t="s">
        <v>291</v>
      </c>
      <c r="B164" s="250"/>
      <c r="C164" s="251"/>
      <c r="D164" s="24">
        <v>45</v>
      </c>
      <c r="E164" s="33">
        <v>135</v>
      </c>
      <c r="F164" s="11">
        <v>0.64</v>
      </c>
      <c r="G164" s="11">
        <v>2.29</v>
      </c>
      <c r="H164" s="11">
        <v>5.98</v>
      </c>
      <c r="I164" s="11">
        <v>47.06</v>
      </c>
      <c r="J164" s="10">
        <v>4.24</v>
      </c>
    </row>
    <row r="165" spans="1:10" x14ac:dyDescent="0.25">
      <c r="A165" s="249" t="s">
        <v>68</v>
      </c>
      <c r="B165" s="250"/>
      <c r="C165" s="251"/>
      <c r="D165" s="24">
        <v>60</v>
      </c>
      <c r="E165" s="33">
        <v>289</v>
      </c>
      <c r="F165" s="11">
        <v>9.06</v>
      </c>
      <c r="G165" s="11">
        <v>4.17</v>
      </c>
      <c r="H165" s="11">
        <v>28.04</v>
      </c>
      <c r="I165" s="11">
        <v>185.83</v>
      </c>
      <c r="J165" s="10">
        <v>0.12</v>
      </c>
    </row>
    <row r="166" spans="1:10" ht="35.25" customHeight="1" x14ac:dyDescent="0.25">
      <c r="A166" s="249" t="s">
        <v>13</v>
      </c>
      <c r="B166" s="250"/>
      <c r="C166" s="251"/>
      <c r="D166" s="24">
        <v>20</v>
      </c>
      <c r="E166" s="24" t="s">
        <v>79</v>
      </c>
      <c r="F166" s="13">
        <v>1.52</v>
      </c>
      <c r="G166" s="13">
        <v>0.16</v>
      </c>
      <c r="H166" s="13">
        <v>9.84</v>
      </c>
      <c r="I166" s="11">
        <v>46.88</v>
      </c>
      <c r="J166" s="25">
        <v>0</v>
      </c>
    </row>
    <row r="167" spans="1:10" ht="18.75" customHeight="1" x14ac:dyDescent="0.25">
      <c r="A167" s="252" t="s">
        <v>73</v>
      </c>
      <c r="B167" s="252"/>
      <c r="C167" s="252"/>
      <c r="D167" s="12">
        <v>180</v>
      </c>
      <c r="E167" s="10" t="s">
        <v>199</v>
      </c>
      <c r="F167" s="187">
        <v>0</v>
      </c>
      <c r="G167" s="25">
        <v>0</v>
      </c>
      <c r="H167" s="25">
        <v>9.99</v>
      </c>
      <c r="I167" s="29">
        <v>39.97</v>
      </c>
      <c r="J167" s="25">
        <v>0</v>
      </c>
    </row>
    <row r="168" spans="1:10" ht="14.25" customHeight="1" x14ac:dyDescent="0.25">
      <c r="A168" s="243" t="s">
        <v>12</v>
      </c>
      <c r="B168" s="244"/>
      <c r="C168" s="245"/>
      <c r="D168" s="172">
        <f>SUM(D163:D167)</f>
        <v>405</v>
      </c>
      <c r="E168" s="172"/>
      <c r="F168" s="22">
        <f>SUM(F163:F167)</f>
        <v>11.620000000000001</v>
      </c>
      <c r="G168" s="22">
        <f t="shared" ref="G168:J168" si="7">SUM(G163:G167)</f>
        <v>7.02</v>
      </c>
      <c r="H168" s="22">
        <f t="shared" si="7"/>
        <v>63.65</v>
      </c>
      <c r="I168" s="22">
        <f t="shared" si="7"/>
        <v>364.14</v>
      </c>
      <c r="J168" s="22">
        <f t="shared" si="7"/>
        <v>14.36</v>
      </c>
    </row>
    <row r="169" spans="1:10" ht="15" customHeight="1" x14ac:dyDescent="0.25">
      <c r="A169" s="243" t="s">
        <v>14</v>
      </c>
      <c r="B169" s="244"/>
      <c r="C169" s="245"/>
      <c r="D169" s="172"/>
      <c r="E169" s="172"/>
      <c r="F169" s="22">
        <f>F147+F151+F161+F168</f>
        <v>58.319999999999993</v>
      </c>
      <c r="G169" s="22">
        <f t="shared" ref="G169:J169" si="8">G147+G151+G161+G168</f>
        <v>37.36</v>
      </c>
      <c r="H169" s="22">
        <f t="shared" si="8"/>
        <v>193.9</v>
      </c>
      <c r="I169" s="22">
        <f t="shared" si="8"/>
        <v>1280.48</v>
      </c>
      <c r="J169" s="22">
        <f t="shared" si="8"/>
        <v>41.75</v>
      </c>
    </row>
    <row r="170" spans="1:10" ht="39" x14ac:dyDescent="0.25">
      <c r="A170" s="269" t="s">
        <v>0</v>
      </c>
      <c r="B170" s="269"/>
      <c r="C170" s="269"/>
      <c r="D170" s="172" t="s">
        <v>1</v>
      </c>
      <c r="E170" s="172" t="s">
        <v>2</v>
      </c>
      <c r="F170" s="22" t="s">
        <v>3</v>
      </c>
      <c r="G170" s="22" t="s">
        <v>4</v>
      </c>
      <c r="H170" s="22" t="s">
        <v>28</v>
      </c>
      <c r="I170" s="158" t="s">
        <v>75</v>
      </c>
      <c r="J170" s="22" t="s">
        <v>76</v>
      </c>
    </row>
    <row r="171" spans="1:10" x14ac:dyDescent="0.25">
      <c r="A171" s="269" t="s">
        <v>21</v>
      </c>
      <c r="B171" s="269"/>
      <c r="C171" s="269"/>
      <c r="D171" s="269"/>
      <c r="E171" s="269"/>
      <c r="F171" s="269"/>
      <c r="G171" s="269"/>
      <c r="H171" s="269"/>
      <c r="I171" s="269"/>
      <c r="J171" s="269"/>
    </row>
    <row r="172" spans="1:10" x14ac:dyDescent="0.25">
      <c r="A172" s="269" t="s">
        <v>15</v>
      </c>
      <c r="B172" s="269"/>
      <c r="C172" s="269"/>
      <c r="D172" s="269"/>
      <c r="E172" s="269"/>
      <c r="F172" s="269"/>
      <c r="G172" s="269"/>
      <c r="H172" s="269"/>
      <c r="I172" s="269"/>
      <c r="J172" s="269"/>
    </row>
    <row r="173" spans="1:10" x14ac:dyDescent="0.25">
      <c r="A173" s="269" t="s">
        <v>9</v>
      </c>
      <c r="B173" s="269"/>
      <c r="C173" s="269"/>
      <c r="D173" s="269"/>
      <c r="E173" s="269"/>
      <c r="F173" s="269"/>
      <c r="G173" s="269"/>
      <c r="H173" s="269"/>
      <c r="I173" s="269"/>
      <c r="J173" s="269"/>
    </row>
    <row r="174" spans="1:10" ht="28.15" customHeight="1" x14ac:dyDescent="0.25">
      <c r="A174" s="270" t="s">
        <v>187</v>
      </c>
      <c r="B174" s="270"/>
      <c r="C174" s="270"/>
      <c r="D174" s="24" t="s">
        <v>69</v>
      </c>
      <c r="E174" s="24">
        <v>99.200500000000005</v>
      </c>
      <c r="F174" s="25">
        <v>4.1100000000000003</v>
      </c>
      <c r="G174" s="25">
        <v>5.03</v>
      </c>
      <c r="H174" s="25">
        <v>19.82</v>
      </c>
      <c r="I174" s="29">
        <v>141.44</v>
      </c>
      <c r="J174" s="25">
        <v>0.98</v>
      </c>
    </row>
    <row r="175" spans="1:10" ht="14.45" customHeight="1" x14ac:dyDescent="0.25">
      <c r="A175" s="310" t="s">
        <v>153</v>
      </c>
      <c r="B175" s="310"/>
      <c r="C175" s="310"/>
      <c r="D175" s="65">
        <v>180</v>
      </c>
      <c r="E175" s="58" t="s">
        <v>154</v>
      </c>
      <c r="F175" s="13">
        <v>6.32</v>
      </c>
      <c r="G175" s="13">
        <v>5.29</v>
      </c>
      <c r="H175" s="13">
        <v>21.62</v>
      </c>
      <c r="I175" s="11">
        <v>160.57</v>
      </c>
      <c r="J175" s="58">
        <v>2.54</v>
      </c>
    </row>
    <row r="176" spans="1:10" x14ac:dyDescent="0.25">
      <c r="A176" s="294" t="s">
        <v>282</v>
      </c>
      <c r="B176" s="294"/>
      <c r="C176" s="294"/>
      <c r="D176" s="135" t="s">
        <v>344</v>
      </c>
      <c r="E176" s="10" t="s">
        <v>143</v>
      </c>
      <c r="F176" s="13">
        <v>1.53</v>
      </c>
      <c r="G176" s="13">
        <v>3.48</v>
      </c>
      <c r="H176" s="13">
        <v>10.15</v>
      </c>
      <c r="I176" s="11">
        <v>79.040000000000006</v>
      </c>
      <c r="J176" s="25">
        <v>0</v>
      </c>
    </row>
    <row r="177" spans="1:10" x14ac:dyDescent="0.25">
      <c r="A177" s="243" t="s">
        <v>12</v>
      </c>
      <c r="B177" s="244"/>
      <c r="C177" s="245"/>
      <c r="D177" s="24">
        <f>20+4+154+D175</f>
        <v>358</v>
      </c>
      <c r="E177" s="24"/>
      <c r="F177" s="22">
        <f>SUM(F174:F176)</f>
        <v>11.959999999999999</v>
      </c>
      <c r="G177" s="22">
        <f t="shared" ref="G177:I177" si="9">SUM(G174:G176)</f>
        <v>13.8</v>
      </c>
      <c r="H177" s="22">
        <f t="shared" si="9"/>
        <v>51.589999999999996</v>
      </c>
      <c r="I177" s="28">
        <f t="shared" si="9"/>
        <v>381.05</v>
      </c>
      <c r="J177" s="25">
        <f>SUM(J174:J176)</f>
        <v>3.52</v>
      </c>
    </row>
    <row r="178" spans="1:10" x14ac:dyDescent="0.25">
      <c r="A178" s="269" t="s">
        <v>8</v>
      </c>
      <c r="B178" s="269"/>
      <c r="C178" s="269"/>
      <c r="D178" s="269"/>
      <c r="E178" s="269"/>
      <c r="F178" s="269"/>
      <c r="G178" s="269"/>
      <c r="H178" s="269"/>
      <c r="I178" s="269"/>
      <c r="J178" s="25"/>
    </row>
    <row r="179" spans="1:10" ht="14.45" customHeight="1" x14ac:dyDescent="0.25">
      <c r="A179" s="249" t="s">
        <v>273</v>
      </c>
      <c r="B179" s="250"/>
      <c r="C179" s="251"/>
      <c r="D179" s="24">
        <v>60</v>
      </c>
      <c r="E179" s="24" t="s">
        <v>77</v>
      </c>
      <c r="F179" s="25">
        <v>0.24</v>
      </c>
      <c r="G179" s="25">
        <v>0.24</v>
      </c>
      <c r="H179" s="25">
        <v>5.88</v>
      </c>
      <c r="I179" s="29">
        <v>26.64</v>
      </c>
      <c r="J179" s="25">
        <v>6</v>
      </c>
    </row>
    <row r="180" spans="1:10" x14ac:dyDescent="0.25">
      <c r="A180" s="243" t="s">
        <v>12</v>
      </c>
      <c r="B180" s="244"/>
      <c r="C180" s="245"/>
      <c r="D180" s="24">
        <f>SUM(D179)</f>
        <v>60</v>
      </c>
      <c r="E180" s="24"/>
      <c r="F180" s="22">
        <f>SUM(F179)</f>
        <v>0.24</v>
      </c>
      <c r="G180" s="22">
        <f t="shared" ref="G180:J180" si="10">SUM(G179)</f>
        <v>0.24</v>
      </c>
      <c r="H180" s="22">
        <f t="shared" si="10"/>
        <v>5.88</v>
      </c>
      <c r="I180" s="28">
        <f t="shared" si="10"/>
        <v>26.64</v>
      </c>
      <c r="J180" s="22">
        <f t="shared" si="10"/>
        <v>6</v>
      </c>
    </row>
    <row r="181" spans="1:10" x14ac:dyDescent="0.25">
      <c r="A181" s="269" t="s">
        <v>11</v>
      </c>
      <c r="B181" s="269"/>
      <c r="C181" s="269"/>
      <c r="D181" s="269"/>
      <c r="E181" s="269"/>
      <c r="F181" s="269"/>
      <c r="G181" s="269"/>
      <c r="H181" s="269"/>
      <c r="I181" s="269"/>
      <c r="J181" s="25"/>
    </row>
    <row r="182" spans="1:10" x14ac:dyDescent="0.25">
      <c r="A182" s="289" t="s">
        <v>251</v>
      </c>
      <c r="B182" s="289"/>
      <c r="C182" s="289"/>
      <c r="D182" s="8">
        <v>45</v>
      </c>
      <c r="E182" s="8" t="s">
        <v>166</v>
      </c>
      <c r="F182" s="9">
        <v>0.76</v>
      </c>
      <c r="G182" s="9">
        <v>0.05</v>
      </c>
      <c r="H182" s="9">
        <v>4.4400000000000004</v>
      </c>
      <c r="I182" s="9">
        <v>21.22</v>
      </c>
      <c r="J182" s="14">
        <v>5.04</v>
      </c>
    </row>
    <row r="183" spans="1:10" ht="31.9" customHeight="1" x14ac:dyDescent="0.25">
      <c r="A183" s="280" t="s">
        <v>214</v>
      </c>
      <c r="B183" s="280"/>
      <c r="C183" s="280"/>
      <c r="D183" s="12" t="s">
        <v>263</v>
      </c>
      <c r="E183" s="10">
        <v>33.200499999999998</v>
      </c>
      <c r="F183" s="163">
        <f>2.07+0.86</f>
        <v>2.9299999999999997</v>
      </c>
      <c r="G183" s="163">
        <f>3.07+0.8</f>
        <v>3.87</v>
      </c>
      <c r="H183" s="163">
        <f>14.46+0.04</f>
        <v>14.5</v>
      </c>
      <c r="I183" s="163">
        <f>91.53+10.8</f>
        <v>102.33</v>
      </c>
      <c r="J183" s="14">
        <f>18.68+0.05</f>
        <v>18.73</v>
      </c>
    </row>
    <row r="184" spans="1:10" ht="22.5" customHeight="1" x14ac:dyDescent="0.25">
      <c r="A184" s="324" t="s">
        <v>264</v>
      </c>
      <c r="B184" s="325"/>
      <c r="C184" s="326"/>
      <c r="D184" s="59" t="s">
        <v>261</v>
      </c>
      <c r="E184" s="159">
        <v>174.05</v>
      </c>
      <c r="F184" s="166">
        <v>8.83</v>
      </c>
      <c r="G184" s="166">
        <v>15.13</v>
      </c>
      <c r="H184" s="166">
        <v>16.68</v>
      </c>
      <c r="I184" s="166">
        <v>229.21</v>
      </c>
      <c r="J184" s="161">
        <v>19.399999999999999</v>
      </c>
    </row>
    <row r="185" spans="1:10" ht="15.75" x14ac:dyDescent="0.25">
      <c r="A185" s="266" t="s">
        <v>19</v>
      </c>
      <c r="B185" s="266"/>
      <c r="C185" s="266"/>
      <c r="D185" s="139">
        <v>130</v>
      </c>
      <c r="E185" s="160">
        <v>200.20050000000001</v>
      </c>
      <c r="F185" s="166">
        <v>2.33</v>
      </c>
      <c r="G185" s="167">
        <v>2.65</v>
      </c>
      <c r="H185" s="167">
        <v>8.3800000000000008</v>
      </c>
      <c r="I185" s="167">
        <v>67.45</v>
      </c>
      <c r="J185" s="162">
        <v>83.4</v>
      </c>
    </row>
    <row r="186" spans="1:10" ht="15.75" x14ac:dyDescent="0.25">
      <c r="A186" s="15" t="s">
        <v>247</v>
      </c>
      <c r="B186" s="15"/>
      <c r="C186" s="15"/>
      <c r="D186" s="24">
        <v>150</v>
      </c>
      <c r="E186" s="159" t="s">
        <v>234</v>
      </c>
      <c r="F186" s="166">
        <v>0.27</v>
      </c>
      <c r="G186" s="167">
        <v>0.06</v>
      </c>
      <c r="H186" s="167">
        <v>9.99</v>
      </c>
      <c r="I186" s="167">
        <v>70.930000000000007</v>
      </c>
      <c r="J186" s="161">
        <v>0.39</v>
      </c>
    </row>
    <row r="187" spans="1:10" x14ac:dyDescent="0.25">
      <c r="A187" s="136" t="s">
        <v>23</v>
      </c>
      <c r="B187" s="137"/>
      <c r="C187" s="138"/>
      <c r="D187" s="10">
        <v>36</v>
      </c>
      <c r="E187" s="10" t="s">
        <v>80</v>
      </c>
      <c r="F187" s="164">
        <v>2.2000000000000002</v>
      </c>
      <c r="G187" s="164">
        <v>0.43</v>
      </c>
      <c r="H187" s="164">
        <v>14.36</v>
      </c>
      <c r="I187" s="165">
        <v>70</v>
      </c>
      <c r="J187" s="25">
        <v>0</v>
      </c>
    </row>
    <row r="188" spans="1:10" x14ac:dyDescent="0.25">
      <c r="A188" s="249" t="s">
        <v>13</v>
      </c>
      <c r="B188" s="250"/>
      <c r="C188" s="251"/>
      <c r="D188" s="10">
        <v>15</v>
      </c>
      <c r="E188" s="10" t="s">
        <v>81</v>
      </c>
      <c r="F188" s="13">
        <v>1.1399999999999999</v>
      </c>
      <c r="G188" s="13">
        <v>0.12</v>
      </c>
      <c r="H188" s="13">
        <v>7.38</v>
      </c>
      <c r="I188" s="11">
        <v>35.159999999999997</v>
      </c>
      <c r="J188" s="25">
        <v>0</v>
      </c>
    </row>
    <row r="189" spans="1:10" x14ac:dyDescent="0.25">
      <c r="A189" s="243" t="s">
        <v>12</v>
      </c>
      <c r="B189" s="244"/>
      <c r="C189" s="245"/>
      <c r="D189" s="24">
        <f>D188+D187+D186+D185+90+210+D182</f>
        <v>676</v>
      </c>
      <c r="E189" s="24"/>
      <c r="F189" s="22">
        <f>SUM(F182:F188)</f>
        <v>18.46</v>
      </c>
      <c r="G189" s="22">
        <f>SUM(G182:G188)</f>
        <v>22.31</v>
      </c>
      <c r="H189" s="22">
        <f>SUM(H182:H188)</f>
        <v>75.73</v>
      </c>
      <c r="I189" s="28">
        <f>SUM(I182:I188)</f>
        <v>596.29999999999995</v>
      </c>
      <c r="J189" s="25">
        <f>SUM(J182:J188)</f>
        <v>126.96000000000001</v>
      </c>
    </row>
    <row r="190" spans="1:10" x14ac:dyDescent="0.25">
      <c r="A190" s="268" t="s">
        <v>37</v>
      </c>
      <c r="B190" s="268"/>
      <c r="C190" s="268"/>
      <c r="D190" s="268"/>
      <c r="E190" s="268"/>
      <c r="F190" s="268"/>
      <c r="G190" s="268"/>
      <c r="H190" s="268"/>
      <c r="I190" s="268"/>
      <c r="J190" s="25"/>
    </row>
    <row r="191" spans="1:10" x14ac:dyDescent="0.25">
      <c r="A191" s="307" t="s">
        <v>298</v>
      </c>
      <c r="B191" s="308"/>
      <c r="C191" s="309"/>
      <c r="D191" s="10">
        <v>160</v>
      </c>
      <c r="E191" s="10">
        <v>264</v>
      </c>
      <c r="F191" s="13">
        <f>13.85+1.01</f>
        <v>14.86</v>
      </c>
      <c r="G191" s="13">
        <f>4.56+2.47</f>
        <v>7.0299999999999994</v>
      </c>
      <c r="H191" s="13">
        <f>14.45+3.05</f>
        <v>17.5</v>
      </c>
      <c r="I191" s="11">
        <f>154.21+383.56</f>
        <v>537.77</v>
      </c>
      <c r="J191" s="10">
        <f>16.16+0.33</f>
        <v>16.489999999999998</v>
      </c>
    </row>
    <row r="192" spans="1:10" x14ac:dyDescent="0.25">
      <c r="A192" s="277" t="s">
        <v>13</v>
      </c>
      <c r="B192" s="278"/>
      <c r="C192" s="279"/>
      <c r="D192" s="14">
        <v>15</v>
      </c>
      <c r="E192" s="10" t="s">
        <v>81</v>
      </c>
      <c r="F192" s="13">
        <v>1.1399999999999999</v>
      </c>
      <c r="G192" s="13">
        <v>0.12</v>
      </c>
      <c r="H192" s="13">
        <v>7.38</v>
      </c>
      <c r="I192" s="11">
        <v>35.159999999999997</v>
      </c>
      <c r="J192" s="10">
        <v>0</v>
      </c>
    </row>
    <row r="193" spans="1:10" x14ac:dyDescent="0.25">
      <c r="A193" s="249" t="s">
        <v>285</v>
      </c>
      <c r="B193" s="250"/>
      <c r="C193" s="251"/>
      <c r="D193" s="10" t="s">
        <v>348</v>
      </c>
      <c r="E193" s="10">
        <v>251</v>
      </c>
      <c r="F193" s="13">
        <f>5.22</f>
        <v>5.22</v>
      </c>
      <c r="G193" s="13">
        <v>5.76</v>
      </c>
      <c r="H193" s="13">
        <f>7.2+3.99</f>
        <v>11.190000000000001</v>
      </c>
      <c r="I193" s="13">
        <f>101.52+15.97</f>
        <v>117.49</v>
      </c>
      <c r="J193" s="25">
        <v>1.26</v>
      </c>
    </row>
    <row r="194" spans="1:10" x14ac:dyDescent="0.25">
      <c r="A194" s="249" t="s">
        <v>38</v>
      </c>
      <c r="B194" s="250"/>
      <c r="C194" s="251"/>
      <c r="D194" s="10">
        <v>40</v>
      </c>
      <c r="E194" s="10" t="s">
        <v>85</v>
      </c>
      <c r="F194" s="13">
        <v>3.07</v>
      </c>
      <c r="G194" s="13">
        <v>4.4000000000000004</v>
      </c>
      <c r="H194" s="13">
        <v>28.39</v>
      </c>
      <c r="I194" s="11">
        <v>165.64</v>
      </c>
      <c r="J194" s="14">
        <v>0</v>
      </c>
    </row>
    <row r="195" spans="1:10" ht="24.75" customHeight="1" x14ac:dyDescent="0.25">
      <c r="A195" s="243" t="s">
        <v>12</v>
      </c>
      <c r="B195" s="244"/>
      <c r="C195" s="245"/>
      <c r="D195" s="172">
        <f>D194+185+D192+D191</f>
        <v>400</v>
      </c>
      <c r="E195" s="172"/>
      <c r="F195" s="22">
        <f>SUM(F191:F194)</f>
        <v>24.29</v>
      </c>
      <c r="G195" s="22">
        <f t="shared" ref="G195:J195" si="11">SUM(G191:G194)</f>
        <v>17.310000000000002</v>
      </c>
      <c r="H195" s="22">
        <f t="shared" si="11"/>
        <v>64.460000000000008</v>
      </c>
      <c r="I195" s="22">
        <f t="shared" si="11"/>
        <v>856.06</v>
      </c>
      <c r="J195" s="22">
        <f t="shared" si="11"/>
        <v>17.75</v>
      </c>
    </row>
    <row r="196" spans="1:10" ht="31.5" customHeight="1" x14ac:dyDescent="0.25">
      <c r="A196" s="243" t="s">
        <v>14</v>
      </c>
      <c r="B196" s="244"/>
      <c r="C196" s="245"/>
      <c r="D196" s="172"/>
      <c r="E196" s="172"/>
      <c r="F196" s="22">
        <f>F195+F189+F180+F177</f>
        <v>54.95</v>
      </c>
      <c r="G196" s="22">
        <f t="shared" ref="G196:J196" si="12">G195+G189+G180+G177</f>
        <v>53.660000000000011</v>
      </c>
      <c r="H196" s="22">
        <f t="shared" si="12"/>
        <v>197.66</v>
      </c>
      <c r="I196" s="22">
        <f t="shared" si="12"/>
        <v>1860.05</v>
      </c>
      <c r="J196" s="22">
        <f t="shared" si="12"/>
        <v>154.23000000000002</v>
      </c>
    </row>
    <row r="197" spans="1:10" ht="51.75" customHeight="1" x14ac:dyDescent="0.25">
      <c r="A197" s="269" t="s">
        <v>0</v>
      </c>
      <c r="B197" s="269"/>
      <c r="C197" s="269"/>
      <c r="D197" s="172" t="s">
        <v>1</v>
      </c>
      <c r="E197" s="172" t="s">
        <v>2</v>
      </c>
      <c r="F197" s="22" t="s">
        <v>3</v>
      </c>
      <c r="G197" s="22" t="s">
        <v>4</v>
      </c>
      <c r="H197" s="22" t="s">
        <v>28</v>
      </c>
      <c r="I197" s="158" t="s">
        <v>75</v>
      </c>
      <c r="J197" s="22" t="s">
        <v>76</v>
      </c>
    </row>
    <row r="198" spans="1:10" x14ac:dyDescent="0.25">
      <c r="A198" s="269" t="s">
        <v>21</v>
      </c>
      <c r="B198" s="269"/>
      <c r="C198" s="269"/>
      <c r="D198" s="269"/>
      <c r="E198" s="269"/>
      <c r="F198" s="269"/>
      <c r="G198" s="269"/>
      <c r="H198" s="269"/>
      <c r="I198" s="269"/>
      <c r="J198" s="269"/>
    </row>
    <row r="199" spans="1:10" x14ac:dyDescent="0.25">
      <c r="A199" s="269" t="s">
        <v>17</v>
      </c>
      <c r="B199" s="269"/>
      <c r="C199" s="269"/>
      <c r="D199" s="269"/>
      <c r="E199" s="269"/>
      <c r="F199" s="269"/>
      <c r="G199" s="269"/>
      <c r="H199" s="269"/>
      <c r="I199" s="269"/>
      <c r="J199" s="269"/>
    </row>
    <row r="200" spans="1:10" x14ac:dyDescent="0.25">
      <c r="A200" s="269" t="s">
        <v>9</v>
      </c>
      <c r="B200" s="269"/>
      <c r="C200" s="269"/>
      <c r="D200" s="269"/>
      <c r="E200" s="269"/>
      <c r="F200" s="269"/>
      <c r="G200" s="269"/>
      <c r="H200" s="269"/>
      <c r="I200" s="269"/>
      <c r="J200" s="269"/>
    </row>
    <row r="201" spans="1:10" ht="21.6" customHeight="1" x14ac:dyDescent="0.25">
      <c r="A201" s="280" t="s">
        <v>182</v>
      </c>
      <c r="B201" s="280"/>
      <c r="C201" s="280"/>
      <c r="D201" s="24" t="s">
        <v>69</v>
      </c>
      <c r="E201" s="24">
        <v>93.200500000000005</v>
      </c>
      <c r="F201" s="11">
        <v>4.8099999999999996</v>
      </c>
      <c r="G201" s="11">
        <v>6.14</v>
      </c>
      <c r="H201" s="11">
        <v>19.239999999999998</v>
      </c>
      <c r="I201" s="11">
        <v>152.06</v>
      </c>
      <c r="J201" s="25">
        <v>1.04</v>
      </c>
    </row>
    <row r="202" spans="1:10" ht="14.45" customHeight="1" x14ac:dyDescent="0.25">
      <c r="A202" s="249" t="s">
        <v>151</v>
      </c>
      <c r="B202" s="250"/>
      <c r="C202" s="251"/>
      <c r="D202" s="24">
        <v>170</v>
      </c>
      <c r="E202" s="24" t="s">
        <v>248</v>
      </c>
      <c r="F202" s="25">
        <v>4.93</v>
      </c>
      <c r="G202" s="25">
        <v>4.25</v>
      </c>
      <c r="H202" s="25">
        <v>20.16</v>
      </c>
      <c r="I202" s="29">
        <v>139.77000000000001</v>
      </c>
      <c r="J202" s="25">
        <v>2.21</v>
      </c>
    </row>
    <row r="203" spans="1:10" ht="13.15" customHeight="1" x14ac:dyDescent="0.25">
      <c r="A203" s="298" t="s">
        <v>314</v>
      </c>
      <c r="B203" s="299"/>
      <c r="C203" s="300"/>
      <c r="D203" s="135" t="s">
        <v>260</v>
      </c>
      <c r="E203" s="10" t="s">
        <v>144</v>
      </c>
      <c r="F203" s="13">
        <v>3.51</v>
      </c>
      <c r="G203" s="13">
        <v>6.21</v>
      </c>
      <c r="H203" s="13">
        <v>10.17</v>
      </c>
      <c r="I203" s="11">
        <v>111.5</v>
      </c>
      <c r="J203" s="14">
        <v>0.05</v>
      </c>
    </row>
    <row r="204" spans="1:10" x14ac:dyDescent="0.25">
      <c r="A204" s="243" t="s">
        <v>12</v>
      </c>
      <c r="B204" s="244"/>
      <c r="C204" s="245"/>
      <c r="D204" s="24">
        <f>154+170+20+5+7.5</f>
        <v>356.5</v>
      </c>
      <c r="E204" s="24"/>
      <c r="F204" s="22">
        <f>SUM(F201:F203)</f>
        <v>13.249999999999998</v>
      </c>
      <c r="G204" s="22">
        <f t="shared" ref="G204:J204" si="13">SUM(G201:G203)</f>
        <v>16.600000000000001</v>
      </c>
      <c r="H204" s="22">
        <f t="shared" si="13"/>
        <v>49.57</v>
      </c>
      <c r="I204" s="22">
        <f t="shared" si="13"/>
        <v>403.33000000000004</v>
      </c>
      <c r="J204" s="22">
        <f t="shared" si="13"/>
        <v>3.3</v>
      </c>
    </row>
    <row r="205" spans="1:10" x14ac:dyDescent="0.25">
      <c r="A205" s="269" t="s">
        <v>8</v>
      </c>
      <c r="B205" s="269"/>
      <c r="C205" s="269"/>
      <c r="D205" s="269"/>
      <c r="E205" s="269"/>
      <c r="F205" s="269"/>
      <c r="G205" s="269"/>
      <c r="H205" s="269"/>
      <c r="I205" s="269"/>
      <c r="J205" s="25"/>
    </row>
    <row r="206" spans="1:10" x14ac:dyDescent="0.25">
      <c r="A206" s="249" t="s">
        <v>273</v>
      </c>
      <c r="B206" s="250"/>
      <c r="C206" s="251"/>
      <c r="D206" s="10">
        <v>120</v>
      </c>
      <c r="E206" s="10" t="s">
        <v>77</v>
      </c>
      <c r="F206" s="13">
        <v>1.8</v>
      </c>
      <c r="G206" s="13">
        <v>0.12</v>
      </c>
      <c r="H206" s="13">
        <v>23.04</v>
      </c>
      <c r="I206" s="11">
        <v>106.8</v>
      </c>
      <c r="J206" s="6">
        <v>18</v>
      </c>
    </row>
    <row r="207" spans="1:10" x14ac:dyDescent="0.25">
      <c r="A207" s="243" t="s">
        <v>12</v>
      </c>
      <c r="B207" s="244"/>
      <c r="C207" s="245"/>
      <c r="D207" s="24">
        <f>SUM(D206)</f>
        <v>120</v>
      </c>
      <c r="E207" s="24"/>
      <c r="F207" s="22">
        <f>SUM(F206:F206)</f>
        <v>1.8</v>
      </c>
      <c r="G207" s="22">
        <f>SUM(G206:G206)</f>
        <v>0.12</v>
      </c>
      <c r="H207" s="22">
        <f>SUM(H206:H206)</f>
        <v>23.04</v>
      </c>
      <c r="I207" s="28">
        <f>SUM(I206:I206)</f>
        <v>106.8</v>
      </c>
      <c r="J207" s="22">
        <f>SUM(J206:J206)</f>
        <v>18</v>
      </c>
    </row>
    <row r="208" spans="1:10" x14ac:dyDescent="0.25">
      <c r="A208" s="268" t="s">
        <v>11</v>
      </c>
      <c r="B208" s="268"/>
      <c r="C208" s="268"/>
      <c r="D208" s="268"/>
      <c r="E208" s="268"/>
      <c r="F208" s="268"/>
      <c r="G208" s="268"/>
      <c r="H208" s="268"/>
      <c r="I208" s="268"/>
      <c r="J208" s="25"/>
    </row>
    <row r="209" spans="1:10" x14ac:dyDescent="0.25">
      <c r="A209" s="285" t="s">
        <v>11</v>
      </c>
      <c r="B209" s="286"/>
      <c r="C209" s="286"/>
      <c r="D209" s="286"/>
      <c r="E209" s="286"/>
      <c r="F209" s="286"/>
      <c r="G209" s="286"/>
      <c r="H209" s="286"/>
      <c r="I209" s="286"/>
      <c r="J209" s="287"/>
    </row>
    <row r="210" spans="1:10" ht="25.9" customHeight="1" x14ac:dyDescent="0.25">
      <c r="A210" s="298" t="s">
        <v>330</v>
      </c>
      <c r="B210" s="299"/>
      <c r="C210" s="300"/>
      <c r="D210" s="24">
        <v>45</v>
      </c>
      <c r="E210" s="10" t="s">
        <v>242</v>
      </c>
      <c r="F210" s="10">
        <v>0.51</v>
      </c>
      <c r="G210" s="10">
        <v>3.04</v>
      </c>
      <c r="H210" s="10">
        <v>6.38</v>
      </c>
      <c r="I210" s="14">
        <v>54.88</v>
      </c>
      <c r="J210" s="10">
        <v>1.95</v>
      </c>
    </row>
    <row r="211" spans="1:10" ht="16.149999999999999" customHeight="1" x14ac:dyDescent="0.25">
      <c r="A211" s="280" t="s">
        <v>331</v>
      </c>
      <c r="B211" s="280"/>
      <c r="C211" s="280"/>
      <c r="D211" s="26" t="s">
        <v>56</v>
      </c>
      <c r="E211" s="24">
        <v>42.05</v>
      </c>
      <c r="F211" s="25">
        <v>5.51</v>
      </c>
      <c r="G211" s="25">
        <v>7.34</v>
      </c>
      <c r="H211" s="25">
        <v>8.41</v>
      </c>
      <c r="I211" s="29">
        <v>124.48</v>
      </c>
      <c r="J211" s="25">
        <v>24</v>
      </c>
    </row>
    <row r="212" spans="1:10" x14ac:dyDescent="0.25">
      <c r="A212" s="277" t="s">
        <v>239</v>
      </c>
      <c r="B212" s="278"/>
      <c r="C212" s="279"/>
      <c r="D212" s="14" t="s">
        <v>265</v>
      </c>
      <c r="E212" s="10" t="s">
        <v>238</v>
      </c>
      <c r="F212" s="11">
        <v>12.94</v>
      </c>
      <c r="G212" s="11">
        <v>6.05</v>
      </c>
      <c r="H212" s="11">
        <v>8.07</v>
      </c>
      <c r="I212" s="11">
        <v>138.63</v>
      </c>
      <c r="J212" s="14">
        <v>19.22</v>
      </c>
    </row>
    <row r="213" spans="1:10" x14ac:dyDescent="0.25">
      <c r="A213" s="15" t="s">
        <v>108</v>
      </c>
      <c r="B213" s="15"/>
      <c r="C213" s="15"/>
      <c r="D213" s="10">
        <v>100</v>
      </c>
      <c r="E213" s="10">
        <v>510.2004</v>
      </c>
      <c r="F213" s="13">
        <v>3.08</v>
      </c>
      <c r="G213" s="13">
        <v>3.34</v>
      </c>
      <c r="H213" s="13">
        <v>13.87</v>
      </c>
      <c r="I213" s="11">
        <v>97.79</v>
      </c>
      <c r="J213" s="14">
        <v>0</v>
      </c>
    </row>
    <row r="214" spans="1:10" x14ac:dyDescent="0.25">
      <c r="A214" s="295" t="s">
        <v>323</v>
      </c>
      <c r="B214" s="296"/>
      <c r="C214" s="297"/>
      <c r="D214" s="24">
        <v>150</v>
      </c>
      <c r="E214" s="24">
        <v>394.16</v>
      </c>
      <c r="F214" s="25">
        <v>0.23</v>
      </c>
      <c r="G214" s="25">
        <v>0.05</v>
      </c>
      <c r="H214" s="25">
        <v>16.559999999999999</v>
      </c>
      <c r="I214" s="29">
        <v>67.61</v>
      </c>
      <c r="J214" s="25">
        <v>0.39</v>
      </c>
    </row>
    <row r="215" spans="1:10" x14ac:dyDescent="0.25">
      <c r="A215" s="136" t="s">
        <v>23</v>
      </c>
      <c r="B215" s="137"/>
      <c r="C215" s="138"/>
      <c r="D215" s="10">
        <v>36</v>
      </c>
      <c r="E215" s="10" t="s">
        <v>80</v>
      </c>
      <c r="F215" s="13">
        <v>2.2000000000000002</v>
      </c>
      <c r="G215" s="13">
        <v>0.43</v>
      </c>
      <c r="H215" s="13">
        <v>14.36</v>
      </c>
      <c r="I215" s="11">
        <v>70</v>
      </c>
      <c r="J215" s="25">
        <v>0</v>
      </c>
    </row>
    <row r="216" spans="1:10" x14ac:dyDescent="0.25">
      <c r="A216" s="249" t="s">
        <v>13</v>
      </c>
      <c r="B216" s="250"/>
      <c r="C216" s="251"/>
      <c r="D216" s="10">
        <v>15</v>
      </c>
      <c r="E216" s="10" t="s">
        <v>81</v>
      </c>
      <c r="F216" s="13">
        <v>1.1399999999999999</v>
      </c>
      <c r="G216" s="13">
        <v>0.12</v>
      </c>
      <c r="H216" s="13">
        <v>7.38</v>
      </c>
      <c r="I216" s="11">
        <v>35.159999999999997</v>
      </c>
      <c r="J216" s="25">
        <v>0</v>
      </c>
    </row>
    <row r="217" spans="1:10" x14ac:dyDescent="0.25">
      <c r="A217" s="237" t="s">
        <v>12</v>
      </c>
      <c r="B217" s="238"/>
      <c r="C217" s="239"/>
      <c r="D217" s="29">
        <f>D210+205+60+17+D213+D214+D215+D216</f>
        <v>628</v>
      </c>
      <c r="E217" s="29"/>
      <c r="F217" s="28">
        <f>SUM(F210:F216)</f>
        <v>25.61</v>
      </c>
      <c r="G217" s="28">
        <f>SUM(G210:G216)</f>
        <v>20.37</v>
      </c>
      <c r="H217" s="28">
        <f>SUM(H210:H216)</f>
        <v>75.029999999999987</v>
      </c>
      <c r="I217" s="28">
        <f>SUM(I210:I216)</f>
        <v>588.55000000000007</v>
      </c>
      <c r="J217" s="25">
        <f>SUM(J210:J216)</f>
        <v>45.56</v>
      </c>
    </row>
    <row r="218" spans="1:10" x14ac:dyDescent="0.25">
      <c r="A218" s="268" t="s">
        <v>37</v>
      </c>
      <c r="B218" s="268"/>
      <c r="C218" s="268"/>
      <c r="D218" s="268"/>
      <c r="E218" s="268"/>
      <c r="F218" s="268"/>
      <c r="G218" s="268"/>
      <c r="H218" s="268"/>
      <c r="I218" s="268"/>
      <c r="J218" s="25"/>
    </row>
    <row r="219" spans="1:10" ht="21.75" customHeight="1" x14ac:dyDescent="0.25">
      <c r="A219" s="280" t="s">
        <v>16</v>
      </c>
      <c r="B219" s="280"/>
      <c r="C219" s="280"/>
      <c r="D219" s="10">
        <v>120</v>
      </c>
      <c r="E219" s="10">
        <v>206</v>
      </c>
      <c r="F219" s="13">
        <v>4.68</v>
      </c>
      <c r="G219" s="13">
        <v>5.08</v>
      </c>
      <c r="H219" s="13">
        <v>31.24</v>
      </c>
      <c r="I219" s="11">
        <v>189.63</v>
      </c>
      <c r="J219" s="10">
        <v>36.659999999999997</v>
      </c>
    </row>
    <row r="220" spans="1:10" ht="21.75" customHeight="1" x14ac:dyDescent="0.25">
      <c r="A220" s="249" t="s">
        <v>332</v>
      </c>
      <c r="B220" s="250"/>
      <c r="C220" s="251"/>
      <c r="D220" s="10">
        <v>70</v>
      </c>
      <c r="E220" s="10">
        <v>294.20049999999998</v>
      </c>
      <c r="F220" s="13">
        <v>6.53</v>
      </c>
      <c r="G220" s="13">
        <v>4.2300000000000004</v>
      </c>
      <c r="H220" s="13">
        <v>24.37</v>
      </c>
      <c r="I220" s="13">
        <v>161.69</v>
      </c>
      <c r="J220" s="10">
        <v>0.3</v>
      </c>
    </row>
    <row r="221" spans="1:10" ht="20.25" customHeight="1" x14ac:dyDescent="0.25">
      <c r="A221" s="249" t="s">
        <v>285</v>
      </c>
      <c r="B221" s="250"/>
      <c r="C221" s="251"/>
      <c r="D221" s="10" t="s">
        <v>348</v>
      </c>
      <c r="E221" s="10">
        <v>251</v>
      </c>
      <c r="F221" s="13">
        <f>5.22</f>
        <v>5.22</v>
      </c>
      <c r="G221" s="13">
        <v>5.76</v>
      </c>
      <c r="H221" s="13">
        <f>7.2+3.99</f>
        <v>11.190000000000001</v>
      </c>
      <c r="I221" s="13">
        <f>101.52+15.97</f>
        <v>117.49</v>
      </c>
      <c r="J221" s="25">
        <v>1.26</v>
      </c>
    </row>
    <row r="222" spans="1:10" ht="14.45" customHeight="1" x14ac:dyDescent="0.25">
      <c r="A222" s="277" t="s">
        <v>13</v>
      </c>
      <c r="B222" s="278"/>
      <c r="C222" s="279"/>
      <c r="D222" s="14">
        <v>15</v>
      </c>
      <c r="E222" s="10" t="s">
        <v>81</v>
      </c>
      <c r="F222" s="13">
        <v>1.1399999999999999</v>
      </c>
      <c r="G222" s="13">
        <v>0.12</v>
      </c>
      <c r="H222" s="13">
        <v>7.38</v>
      </c>
      <c r="I222" s="11">
        <v>35.159999999999997</v>
      </c>
      <c r="J222" s="10">
        <v>0</v>
      </c>
    </row>
    <row r="223" spans="1:10" ht="21" customHeight="1" x14ac:dyDescent="0.25">
      <c r="A223" s="249" t="s">
        <v>38</v>
      </c>
      <c r="B223" s="250"/>
      <c r="C223" s="251"/>
      <c r="D223" s="24">
        <v>10</v>
      </c>
      <c r="E223" s="24"/>
      <c r="F223" s="13">
        <v>0.77</v>
      </c>
      <c r="G223" s="13">
        <v>1.1000000000000001</v>
      </c>
      <c r="H223" s="13">
        <v>7.1</v>
      </c>
      <c r="I223" s="11">
        <v>41.41</v>
      </c>
      <c r="J223" s="6">
        <v>20</v>
      </c>
    </row>
    <row r="224" spans="1:10" ht="23.25" customHeight="1" x14ac:dyDescent="0.25">
      <c r="A224" s="244" t="s">
        <v>352</v>
      </c>
      <c r="B224" s="244"/>
      <c r="C224" s="245"/>
      <c r="D224" s="172">
        <f>D219+D220+D222+D223+185</f>
        <v>400</v>
      </c>
      <c r="E224" s="172"/>
      <c r="F224" s="22">
        <f>SUM(F219:F223)</f>
        <v>18.34</v>
      </c>
      <c r="G224" s="22">
        <f t="shared" ref="G224:J224" si="14">SUM(G219:G223)</f>
        <v>16.29</v>
      </c>
      <c r="H224" s="22">
        <f t="shared" si="14"/>
        <v>81.279999999999987</v>
      </c>
      <c r="I224" s="22">
        <f t="shared" si="14"/>
        <v>545.38</v>
      </c>
      <c r="J224" s="22">
        <f t="shared" si="14"/>
        <v>58.219999999999992</v>
      </c>
    </row>
    <row r="225" spans="1:10" ht="15" hidden="1" customHeight="1" x14ac:dyDescent="0.25">
      <c r="A225" s="177" t="s">
        <v>12</v>
      </c>
      <c r="B225" s="174"/>
      <c r="C225" s="175"/>
      <c r="D225" s="172"/>
      <c r="E225" s="172"/>
      <c r="F225" s="22">
        <f>F204+F207+F217+F224</f>
        <v>59</v>
      </c>
      <c r="G225" s="22">
        <f>G204+G207+G217+G224</f>
        <v>53.38</v>
      </c>
      <c r="H225" s="22">
        <f>H204+H207+H217+H224</f>
        <v>228.91999999999996</v>
      </c>
      <c r="I225" s="28">
        <f>I204+I207+I217+I224</f>
        <v>1644.06</v>
      </c>
      <c r="J225" s="22">
        <f>J204+J207+J217+J224</f>
        <v>125.07999999999998</v>
      </c>
    </row>
    <row r="226" spans="1:10" ht="21.75" customHeight="1" x14ac:dyDescent="0.25">
      <c r="A226" s="173" t="s">
        <v>14</v>
      </c>
      <c r="B226" s="174"/>
      <c r="C226" s="175"/>
      <c r="D226" s="172"/>
      <c r="E226" s="172"/>
      <c r="F226" s="22">
        <f>F224+F217+F207+F204</f>
        <v>59</v>
      </c>
      <c r="G226" s="22">
        <f t="shared" ref="G226:J226" si="15">G224+G217+G207+G204</f>
        <v>53.379999999999995</v>
      </c>
      <c r="H226" s="22">
        <f t="shared" si="15"/>
        <v>228.91999999999996</v>
      </c>
      <c r="I226" s="22">
        <f t="shared" si="15"/>
        <v>1644.06</v>
      </c>
      <c r="J226" s="22">
        <f t="shared" si="15"/>
        <v>125.08</v>
      </c>
    </row>
    <row r="227" spans="1:10" ht="39" x14ac:dyDescent="0.25">
      <c r="A227" s="269" t="s">
        <v>0</v>
      </c>
      <c r="B227" s="269"/>
      <c r="C227" s="269"/>
      <c r="D227" s="172" t="s">
        <v>1</v>
      </c>
      <c r="E227" s="172" t="s">
        <v>2</v>
      </c>
      <c r="F227" s="22" t="s">
        <v>3</v>
      </c>
      <c r="G227" s="22" t="s">
        <v>4</v>
      </c>
      <c r="H227" s="22" t="s">
        <v>28</v>
      </c>
      <c r="I227" s="158" t="s">
        <v>75</v>
      </c>
      <c r="J227" s="22" t="s">
        <v>76</v>
      </c>
    </row>
    <row r="228" spans="1:10" x14ac:dyDescent="0.25">
      <c r="A228" s="268" t="s">
        <v>21</v>
      </c>
      <c r="B228" s="268"/>
      <c r="C228" s="268"/>
      <c r="D228" s="268"/>
      <c r="E228" s="268"/>
      <c r="F228" s="268"/>
      <c r="G228" s="268"/>
      <c r="H228" s="268"/>
      <c r="I228" s="268"/>
      <c r="J228" s="268"/>
    </row>
    <row r="229" spans="1:10" x14ac:dyDescent="0.25">
      <c r="A229" s="268" t="s">
        <v>18</v>
      </c>
      <c r="B229" s="268"/>
      <c r="C229" s="268"/>
      <c r="D229" s="268"/>
      <c r="E229" s="268"/>
      <c r="F229" s="268"/>
      <c r="G229" s="268"/>
      <c r="H229" s="268"/>
      <c r="I229" s="268"/>
      <c r="J229" s="268"/>
    </row>
    <row r="230" spans="1:10" x14ac:dyDescent="0.25">
      <c r="A230" s="290" t="s">
        <v>9</v>
      </c>
      <c r="B230" s="290"/>
      <c r="C230" s="290"/>
      <c r="D230" s="290"/>
      <c r="E230" s="290"/>
      <c r="F230" s="290"/>
      <c r="G230" s="290"/>
      <c r="H230" s="290"/>
      <c r="I230" s="290"/>
      <c r="J230" s="290"/>
    </row>
    <row r="231" spans="1:10" ht="27" customHeight="1" x14ac:dyDescent="0.25">
      <c r="A231" s="335" t="s">
        <v>180</v>
      </c>
      <c r="B231" s="335"/>
      <c r="C231" s="335"/>
      <c r="D231" s="194" t="s">
        <v>69</v>
      </c>
      <c r="E231" s="10">
        <v>91.200500000000005</v>
      </c>
      <c r="F231" s="13">
        <v>4</v>
      </c>
      <c r="G231" s="13">
        <v>5.13</v>
      </c>
      <c r="H231" s="13">
        <v>21.81</v>
      </c>
      <c r="I231" s="11">
        <v>149.94</v>
      </c>
      <c r="J231" s="10">
        <v>1.03</v>
      </c>
    </row>
    <row r="232" spans="1:10" ht="14.45" customHeight="1" x14ac:dyDescent="0.25">
      <c r="A232" s="333" t="s">
        <v>73</v>
      </c>
      <c r="B232" s="333"/>
      <c r="C232" s="333"/>
      <c r="D232" s="195">
        <v>180</v>
      </c>
      <c r="E232" s="10" t="s">
        <v>199</v>
      </c>
      <c r="F232" s="25">
        <v>0</v>
      </c>
      <c r="G232" s="25">
        <v>0</v>
      </c>
      <c r="H232" s="25">
        <v>10</v>
      </c>
      <c r="I232" s="25">
        <v>40</v>
      </c>
      <c r="J232" s="25">
        <v>0</v>
      </c>
    </row>
    <row r="233" spans="1:10" ht="30" customHeight="1" x14ac:dyDescent="0.25">
      <c r="A233" s="334" t="s">
        <v>282</v>
      </c>
      <c r="B233" s="334"/>
      <c r="C233" s="334"/>
      <c r="D233" s="196" t="s">
        <v>344</v>
      </c>
      <c r="E233" s="10" t="s">
        <v>143</v>
      </c>
      <c r="F233" s="13">
        <v>1.53</v>
      </c>
      <c r="G233" s="13">
        <v>3.48</v>
      </c>
      <c r="H233" s="13">
        <v>10.15</v>
      </c>
      <c r="I233" s="11">
        <v>79.040000000000006</v>
      </c>
      <c r="J233" s="25">
        <v>0</v>
      </c>
    </row>
    <row r="234" spans="1:10" x14ac:dyDescent="0.25">
      <c r="A234" s="243" t="s">
        <v>12</v>
      </c>
      <c r="B234" s="244"/>
      <c r="C234" s="245"/>
      <c r="D234" s="24">
        <f>'[1]4 приема пищи 59,84  19 г'!AK41+154+24</f>
        <v>358</v>
      </c>
      <c r="E234" s="24"/>
      <c r="F234" s="22">
        <f>SUM(F231:F233)</f>
        <v>5.53</v>
      </c>
      <c r="G234" s="22">
        <f t="shared" ref="G234:J234" si="16">SUM(G231:G233)</f>
        <v>8.61</v>
      </c>
      <c r="H234" s="22">
        <f t="shared" si="16"/>
        <v>41.96</v>
      </c>
      <c r="I234" s="22">
        <f t="shared" si="16"/>
        <v>268.98</v>
      </c>
      <c r="J234" s="22">
        <f t="shared" si="16"/>
        <v>1.03</v>
      </c>
    </row>
    <row r="235" spans="1:10" x14ac:dyDescent="0.25">
      <c r="A235" s="269" t="s">
        <v>8</v>
      </c>
      <c r="B235" s="269"/>
      <c r="C235" s="269"/>
      <c r="D235" s="269"/>
      <c r="E235" s="269"/>
      <c r="F235" s="269"/>
      <c r="G235" s="269"/>
      <c r="H235" s="269"/>
      <c r="I235" s="269"/>
      <c r="J235" s="25"/>
    </row>
    <row r="236" spans="1:10" x14ac:dyDescent="0.25">
      <c r="A236" s="17"/>
      <c r="B236" s="17"/>
      <c r="C236" s="17"/>
      <c r="D236" s="17"/>
      <c r="E236" s="17"/>
      <c r="F236" s="17"/>
      <c r="G236" s="17"/>
      <c r="H236" s="17"/>
      <c r="I236" s="186"/>
      <c r="J236" s="17"/>
    </row>
    <row r="237" spans="1:10" x14ac:dyDescent="0.25">
      <c r="A237" s="249" t="s">
        <v>61</v>
      </c>
      <c r="B237" s="250"/>
      <c r="C237" s="251"/>
      <c r="D237" s="24">
        <v>180</v>
      </c>
      <c r="E237" s="24" t="s">
        <v>245</v>
      </c>
      <c r="F237" s="25">
        <v>0.9</v>
      </c>
      <c r="G237" s="25">
        <v>0.18</v>
      </c>
      <c r="H237" s="25">
        <v>18.18</v>
      </c>
      <c r="I237" s="25">
        <v>77.94</v>
      </c>
      <c r="J237" s="25">
        <v>3.6</v>
      </c>
    </row>
    <row r="238" spans="1:10" x14ac:dyDescent="0.25">
      <c r="A238" s="320" t="s">
        <v>12</v>
      </c>
      <c r="B238" s="321"/>
      <c r="C238" s="322"/>
      <c r="D238" s="24">
        <f>SUM(D237)</f>
        <v>180</v>
      </c>
      <c r="E238" s="24"/>
      <c r="F238" s="22">
        <f>SUM(F237:F237)</f>
        <v>0.9</v>
      </c>
      <c r="G238" s="22">
        <f>SUM(G237:G237)</f>
        <v>0.18</v>
      </c>
      <c r="H238" s="22">
        <f>SUM(H237:H237)</f>
        <v>18.18</v>
      </c>
      <c r="I238" s="28">
        <f>SUM(I237:I237)</f>
        <v>77.94</v>
      </c>
      <c r="J238" s="22">
        <f>SUM(J237:J237)</f>
        <v>3.6</v>
      </c>
    </row>
    <row r="239" spans="1:10" ht="15" customHeight="1" x14ac:dyDescent="0.25">
      <c r="A239" s="268" t="s">
        <v>11</v>
      </c>
      <c r="B239" s="268"/>
      <c r="C239" s="268"/>
      <c r="D239" s="268"/>
      <c r="E239" s="268"/>
      <c r="F239" s="268"/>
      <c r="G239" s="268"/>
      <c r="H239" s="268"/>
      <c r="I239" s="268"/>
      <c r="J239" s="25"/>
    </row>
    <row r="240" spans="1:10" ht="15" customHeight="1" x14ac:dyDescent="0.25">
      <c r="A240" s="266" t="s">
        <v>96</v>
      </c>
      <c r="B240" s="266"/>
      <c r="C240" s="266"/>
      <c r="D240" s="14">
        <v>45</v>
      </c>
      <c r="E240" s="14">
        <v>78.200400000000002</v>
      </c>
      <c r="F240" s="11">
        <v>0.67</v>
      </c>
      <c r="G240" s="11">
        <v>1.56</v>
      </c>
      <c r="H240" s="11">
        <v>4.42</v>
      </c>
      <c r="I240" s="11">
        <v>34.33</v>
      </c>
      <c r="J240" s="10">
        <v>4.51</v>
      </c>
    </row>
    <row r="241" spans="1:10" ht="27.75" customHeight="1" x14ac:dyDescent="0.25">
      <c r="A241" s="298" t="s">
        <v>215</v>
      </c>
      <c r="B241" s="299"/>
      <c r="C241" s="300"/>
      <c r="D241" s="12" t="s">
        <v>267</v>
      </c>
      <c r="E241" s="10">
        <v>56.200499999999998</v>
      </c>
      <c r="F241" s="13">
        <f>1.52+1.9</f>
        <v>3.42</v>
      </c>
      <c r="G241" s="13">
        <f>4.75+1.76</f>
        <v>6.51</v>
      </c>
      <c r="H241" s="13">
        <f>8.08+0.16</f>
        <v>8.24</v>
      </c>
      <c r="I241" s="11">
        <f>79.08+24.12</f>
        <v>103.2</v>
      </c>
      <c r="J241" s="13">
        <v>35.6</v>
      </c>
    </row>
    <row r="242" spans="1:10" ht="29.25" customHeight="1" x14ac:dyDescent="0.25">
      <c r="A242" s="249" t="s">
        <v>200</v>
      </c>
      <c r="B242" s="250"/>
      <c r="C242" s="251"/>
      <c r="D242" s="10">
        <v>70</v>
      </c>
      <c r="E242" s="10" t="s">
        <v>241</v>
      </c>
      <c r="F242" s="25">
        <v>12.56</v>
      </c>
      <c r="G242" s="25">
        <v>11.2</v>
      </c>
      <c r="H242" s="25">
        <v>13.18</v>
      </c>
      <c r="I242" s="29">
        <v>197</v>
      </c>
      <c r="J242" s="25">
        <v>0.96</v>
      </c>
    </row>
    <row r="243" spans="1:10" x14ac:dyDescent="0.25">
      <c r="A243" s="277" t="s">
        <v>216</v>
      </c>
      <c r="B243" s="278"/>
      <c r="C243" s="279"/>
      <c r="D243" s="14">
        <v>100</v>
      </c>
      <c r="E243" s="10" t="s">
        <v>252</v>
      </c>
      <c r="F243" s="11">
        <v>3.48</v>
      </c>
      <c r="G243" s="11">
        <v>4.01</v>
      </c>
      <c r="H243" s="11">
        <v>21.27</v>
      </c>
      <c r="I243" s="11">
        <v>135.08000000000001</v>
      </c>
      <c r="J243" s="14">
        <v>3.6</v>
      </c>
    </row>
    <row r="244" spans="1:10" x14ac:dyDescent="0.25">
      <c r="A244" s="295" t="s">
        <v>323</v>
      </c>
      <c r="B244" s="296"/>
      <c r="C244" s="297"/>
      <c r="D244" s="24">
        <v>150</v>
      </c>
      <c r="E244" s="24">
        <v>394.16</v>
      </c>
      <c r="F244" s="25">
        <v>0.52</v>
      </c>
      <c r="G244" s="25">
        <v>0.03</v>
      </c>
      <c r="H244" s="25">
        <v>15.08</v>
      </c>
      <c r="I244" s="29">
        <v>62.67</v>
      </c>
      <c r="J244" s="25">
        <v>0.4</v>
      </c>
    </row>
    <row r="245" spans="1:10" x14ac:dyDescent="0.25">
      <c r="A245" s="136" t="s">
        <v>23</v>
      </c>
      <c r="B245" s="137"/>
      <c r="C245" s="138"/>
      <c r="D245" s="10">
        <v>36</v>
      </c>
      <c r="E245" s="10" t="s">
        <v>80</v>
      </c>
      <c r="F245" s="13">
        <v>2.2000000000000002</v>
      </c>
      <c r="G245" s="13">
        <v>0.43</v>
      </c>
      <c r="H245" s="13">
        <v>14.36</v>
      </c>
      <c r="I245" s="11">
        <v>70</v>
      </c>
      <c r="J245" s="25">
        <v>0</v>
      </c>
    </row>
    <row r="246" spans="1:10" x14ac:dyDescent="0.25">
      <c r="A246" s="249" t="s">
        <v>13</v>
      </c>
      <c r="B246" s="250"/>
      <c r="C246" s="251"/>
      <c r="D246" s="10">
        <v>15</v>
      </c>
      <c r="E246" s="10" t="s">
        <v>81</v>
      </c>
      <c r="F246" s="13">
        <v>1.1399999999999999</v>
      </c>
      <c r="G246" s="13">
        <v>0.12</v>
      </c>
      <c r="H246" s="13">
        <v>7.38</v>
      </c>
      <c r="I246" s="11">
        <v>35.159999999999997</v>
      </c>
      <c r="J246" s="25">
        <v>0</v>
      </c>
    </row>
    <row r="247" spans="1:10" x14ac:dyDescent="0.25">
      <c r="A247" s="243" t="s">
        <v>12</v>
      </c>
      <c r="B247" s="244"/>
      <c r="C247" s="245"/>
      <c r="D247" s="24">
        <f>D240+200+10+5+D242+D243+D244+D245+D246</f>
        <v>631</v>
      </c>
      <c r="E247" s="24"/>
      <c r="F247" s="22">
        <f>SUM(F241:F246)</f>
        <v>23.32</v>
      </c>
      <c r="G247" s="22">
        <f>SUM(G241:G246)</f>
        <v>22.3</v>
      </c>
      <c r="H247" s="22">
        <f>SUM(H241:H246)</f>
        <v>79.509999999999991</v>
      </c>
      <c r="I247" s="28">
        <f>SUM(I241:I246)</f>
        <v>603.11</v>
      </c>
      <c r="J247" s="25">
        <f>SUM(J241:J246)</f>
        <v>40.56</v>
      </c>
    </row>
    <row r="248" spans="1:10" ht="15" customHeight="1" x14ac:dyDescent="0.25">
      <c r="A248" s="268" t="s">
        <v>37</v>
      </c>
      <c r="B248" s="268"/>
      <c r="C248" s="268"/>
      <c r="D248" s="268"/>
      <c r="E248" s="268"/>
      <c r="F248" s="268"/>
      <c r="G248" s="268"/>
      <c r="H248" s="268"/>
      <c r="I248" s="268"/>
      <c r="J248" s="25"/>
    </row>
    <row r="249" spans="1:10" ht="31.5" customHeight="1" x14ac:dyDescent="0.25">
      <c r="A249" s="327" t="s">
        <v>300</v>
      </c>
      <c r="B249" s="327"/>
      <c r="C249" s="327"/>
      <c r="D249" s="14" t="s">
        <v>349</v>
      </c>
      <c r="E249" s="14" t="s">
        <v>353</v>
      </c>
      <c r="F249" s="13">
        <f>19.03+0.57</f>
        <v>19.600000000000001</v>
      </c>
      <c r="G249" s="13">
        <f>8.09+1.26</f>
        <v>9.35</v>
      </c>
      <c r="H249" s="13">
        <f>23.5+3.59</f>
        <v>27.09</v>
      </c>
      <c r="I249" s="11">
        <f>240.77+28.01</f>
        <v>268.78000000000003</v>
      </c>
      <c r="J249" s="25">
        <f>6.36+0.2</f>
        <v>6.5600000000000005</v>
      </c>
    </row>
    <row r="250" spans="1:10" x14ac:dyDescent="0.25">
      <c r="A250" s="249" t="s">
        <v>13</v>
      </c>
      <c r="B250" s="250"/>
      <c r="C250" s="251"/>
      <c r="D250" s="10">
        <v>20</v>
      </c>
      <c r="E250" s="10" t="s">
        <v>79</v>
      </c>
      <c r="F250" s="13">
        <v>1.52</v>
      </c>
      <c r="G250" s="13">
        <f>0.16</f>
        <v>0.16</v>
      </c>
      <c r="H250" s="13">
        <v>9.84</v>
      </c>
      <c r="I250" s="11">
        <v>46.88</v>
      </c>
      <c r="J250" s="6">
        <v>0</v>
      </c>
    </row>
    <row r="251" spans="1:10" x14ac:dyDescent="0.25">
      <c r="A251" s="249" t="s">
        <v>285</v>
      </c>
      <c r="B251" s="250"/>
      <c r="C251" s="251"/>
      <c r="D251" s="10" t="s">
        <v>266</v>
      </c>
      <c r="E251" s="10">
        <v>251</v>
      </c>
      <c r="F251" s="13">
        <v>4.5199999999999996</v>
      </c>
      <c r="G251" s="13">
        <v>4.99</v>
      </c>
      <c r="H251" s="13">
        <f>6.24+2.99</f>
        <v>9.23</v>
      </c>
      <c r="I251" s="11">
        <f>87.98+11.98</f>
        <v>99.960000000000008</v>
      </c>
      <c r="J251" s="8">
        <v>1.0900000000000001</v>
      </c>
    </row>
    <row r="252" spans="1:10" x14ac:dyDescent="0.25">
      <c r="A252" s="249" t="s">
        <v>273</v>
      </c>
      <c r="B252" s="250"/>
      <c r="C252" s="251"/>
      <c r="D252" s="10">
        <v>95</v>
      </c>
      <c r="E252" s="25" t="s">
        <v>77</v>
      </c>
      <c r="F252" s="187">
        <v>0.38</v>
      </c>
      <c r="G252" s="25">
        <v>0.38</v>
      </c>
      <c r="H252" s="25">
        <v>9.31</v>
      </c>
      <c r="I252" s="29">
        <v>42.18</v>
      </c>
      <c r="J252" s="25">
        <v>9.5</v>
      </c>
    </row>
    <row r="253" spans="1:10" ht="22.5" customHeight="1" x14ac:dyDescent="0.25">
      <c r="A253" s="243" t="s">
        <v>12</v>
      </c>
      <c r="B253" s="244"/>
      <c r="C253" s="245"/>
      <c r="D253" s="172">
        <f>D252+153+D250+120+15</f>
        <v>403</v>
      </c>
      <c r="E253" s="172"/>
      <c r="F253" s="22">
        <f>SUM(F249:F252)</f>
        <v>26.02</v>
      </c>
      <c r="G253" s="22">
        <f>SUM(G249:G252)</f>
        <v>14.88</v>
      </c>
      <c r="H253" s="22">
        <f>SUM(H249:H252)</f>
        <v>55.47</v>
      </c>
      <c r="I253" s="22">
        <f>SUM(I249:I252)</f>
        <v>457.8</v>
      </c>
      <c r="J253" s="22">
        <f>SUM(J249:J252)</f>
        <v>17.149999999999999</v>
      </c>
    </row>
    <row r="254" spans="1:10" ht="18.75" customHeight="1" x14ac:dyDescent="0.25">
      <c r="A254" s="243" t="s">
        <v>14</v>
      </c>
      <c r="B254" s="244"/>
      <c r="C254" s="245"/>
      <c r="D254" s="172"/>
      <c r="E254" s="172"/>
      <c r="F254" s="22">
        <f>F253+F247+F238+F234</f>
        <v>55.77</v>
      </c>
      <c r="G254" s="22">
        <f>G253+G247+G238+G234</f>
        <v>45.97</v>
      </c>
      <c r="H254" s="22">
        <f>H253+H247+H238+H234</f>
        <v>195.12</v>
      </c>
      <c r="I254" s="22">
        <f>I253+I247+I238+I234</f>
        <v>1407.8300000000002</v>
      </c>
      <c r="J254" s="22">
        <f>J253+J247+J238+J234</f>
        <v>62.34</v>
      </c>
    </row>
    <row r="255" spans="1:10" ht="24" customHeight="1" x14ac:dyDescent="0.25">
      <c r="A255" s="173"/>
      <c r="B255" s="174"/>
      <c r="C255" s="175"/>
      <c r="D255" s="172"/>
      <c r="E255" s="172"/>
      <c r="F255" s="22"/>
      <c r="G255" s="22"/>
      <c r="H255" s="22"/>
      <c r="I255" s="28"/>
      <c r="J255" s="22"/>
    </row>
    <row r="256" spans="1:10" ht="39" x14ac:dyDescent="0.25">
      <c r="A256" s="269" t="s">
        <v>0</v>
      </c>
      <c r="B256" s="269"/>
      <c r="C256" s="269"/>
      <c r="D256" s="172" t="s">
        <v>1</v>
      </c>
      <c r="E256" s="172" t="s">
        <v>2</v>
      </c>
      <c r="F256" s="22" t="s">
        <v>3</v>
      </c>
      <c r="G256" s="22" t="s">
        <v>4</v>
      </c>
      <c r="H256" s="22" t="s">
        <v>28</v>
      </c>
      <c r="I256" s="158" t="s">
        <v>75</v>
      </c>
      <c r="J256" s="22" t="s">
        <v>76</v>
      </c>
    </row>
    <row r="257" spans="1:10" x14ac:dyDescent="0.25">
      <c r="A257" s="269" t="s">
        <v>21</v>
      </c>
      <c r="B257" s="269"/>
      <c r="C257" s="269"/>
      <c r="D257" s="269"/>
      <c r="E257" s="269"/>
      <c r="F257" s="269"/>
      <c r="G257" s="269"/>
      <c r="H257" s="269"/>
      <c r="I257" s="269"/>
      <c r="J257" s="269"/>
    </row>
    <row r="258" spans="1:10" ht="15" customHeight="1" x14ac:dyDescent="0.25">
      <c r="A258" s="269" t="s">
        <v>20</v>
      </c>
      <c r="B258" s="269"/>
      <c r="C258" s="269"/>
      <c r="D258" s="269"/>
      <c r="E258" s="269"/>
      <c r="F258" s="269"/>
      <c r="G258" s="269"/>
      <c r="H258" s="269"/>
      <c r="I258" s="269"/>
      <c r="J258" s="269"/>
    </row>
    <row r="259" spans="1:10" x14ac:dyDescent="0.25">
      <c r="A259" s="269" t="s">
        <v>9</v>
      </c>
      <c r="B259" s="269"/>
      <c r="C259" s="269"/>
      <c r="D259" s="269"/>
      <c r="E259" s="269"/>
      <c r="F259" s="269"/>
      <c r="G259" s="269"/>
      <c r="H259" s="269"/>
      <c r="I259" s="269"/>
      <c r="J259" s="25"/>
    </row>
    <row r="260" spans="1:10" ht="29.45" customHeight="1" x14ac:dyDescent="0.25">
      <c r="A260" s="298" t="s">
        <v>316</v>
      </c>
      <c r="B260" s="299"/>
      <c r="C260" s="300"/>
      <c r="D260" s="135" t="s">
        <v>260</v>
      </c>
      <c r="E260" s="10" t="s">
        <v>144</v>
      </c>
      <c r="F260" s="13">
        <v>3.51</v>
      </c>
      <c r="G260" s="13">
        <v>6.21</v>
      </c>
      <c r="H260" s="13">
        <v>10.17</v>
      </c>
      <c r="I260" s="11">
        <v>111.5</v>
      </c>
      <c r="J260" s="14">
        <v>0.05</v>
      </c>
    </row>
    <row r="261" spans="1:10" ht="24.6" customHeight="1" x14ac:dyDescent="0.25">
      <c r="A261" s="240" t="s">
        <v>181</v>
      </c>
      <c r="B261" s="241"/>
      <c r="C261" s="242"/>
      <c r="D261" s="139" t="s">
        <v>69</v>
      </c>
      <c r="E261" s="10">
        <v>84.200500000000005</v>
      </c>
      <c r="F261" s="11">
        <v>4.09</v>
      </c>
      <c r="G261" s="11">
        <v>5.27</v>
      </c>
      <c r="H261" s="11">
        <v>20.98</v>
      </c>
      <c r="I261" s="11">
        <v>148.22</v>
      </c>
      <c r="J261" s="10">
        <v>1</v>
      </c>
    </row>
    <row r="262" spans="1:10" x14ac:dyDescent="0.25">
      <c r="A262" s="249" t="s">
        <v>22</v>
      </c>
      <c r="B262" s="250"/>
      <c r="C262" s="251"/>
      <c r="D262" s="10">
        <v>180</v>
      </c>
      <c r="E262" s="10" t="s">
        <v>246</v>
      </c>
      <c r="F262" s="11">
        <v>1.22</v>
      </c>
      <c r="G262" s="11">
        <v>1.05</v>
      </c>
      <c r="H262" s="11">
        <v>12.01</v>
      </c>
      <c r="I262" s="11">
        <v>62.65</v>
      </c>
      <c r="J262" s="10">
        <v>0.55000000000000004</v>
      </c>
    </row>
    <row r="263" spans="1:10" x14ac:dyDescent="0.25">
      <c r="A263" s="243" t="s">
        <v>12</v>
      </c>
      <c r="B263" s="244"/>
      <c r="C263" s="245"/>
      <c r="D263" s="24">
        <f>D262+154+20+5+7.5</f>
        <v>366.5</v>
      </c>
      <c r="E263" s="24"/>
      <c r="F263" s="22">
        <f>SUM(F260:F262)</f>
        <v>8.82</v>
      </c>
      <c r="G263" s="22">
        <f t="shared" ref="G263:J263" si="17">SUM(G260:G262)</f>
        <v>12.530000000000001</v>
      </c>
      <c r="H263" s="22">
        <f t="shared" si="17"/>
        <v>43.16</v>
      </c>
      <c r="I263" s="22">
        <f t="shared" si="17"/>
        <v>322.37</v>
      </c>
      <c r="J263" s="22">
        <f t="shared" si="17"/>
        <v>1.6</v>
      </c>
    </row>
    <row r="264" spans="1:10" x14ac:dyDescent="0.25">
      <c r="A264" s="269" t="s">
        <v>8</v>
      </c>
      <c r="B264" s="269"/>
      <c r="C264" s="269"/>
      <c r="D264" s="269"/>
      <c r="E264" s="269"/>
      <c r="F264" s="269"/>
      <c r="G264" s="269"/>
      <c r="H264" s="269"/>
      <c r="I264" s="269"/>
      <c r="J264" s="25"/>
    </row>
    <row r="265" spans="1:10" ht="15" customHeight="1" x14ac:dyDescent="0.25">
      <c r="A265" s="249" t="s">
        <v>273</v>
      </c>
      <c r="B265" s="250"/>
      <c r="C265" s="251"/>
      <c r="D265" s="10">
        <v>60</v>
      </c>
      <c r="E265" s="25" t="s">
        <v>77</v>
      </c>
      <c r="F265" s="187">
        <v>0.24</v>
      </c>
      <c r="G265" s="25">
        <v>0.24</v>
      </c>
      <c r="H265" s="25">
        <v>5.88</v>
      </c>
      <c r="I265" s="29">
        <v>26.64</v>
      </c>
      <c r="J265" s="25">
        <v>6</v>
      </c>
    </row>
    <row r="266" spans="1:10" x14ac:dyDescent="0.25">
      <c r="A266" s="243" t="s">
        <v>12</v>
      </c>
      <c r="B266" s="244"/>
      <c r="C266" s="245"/>
      <c r="D266" s="24">
        <f>SUM(D265)</f>
        <v>60</v>
      </c>
      <c r="E266" s="24"/>
      <c r="F266" s="22">
        <f>SUM(F265:F265)</f>
        <v>0.24</v>
      </c>
      <c r="G266" s="22">
        <f>SUM(G265:G265)</f>
        <v>0.24</v>
      </c>
      <c r="H266" s="22">
        <f>SUM(H265:H265)</f>
        <v>5.88</v>
      </c>
      <c r="I266" s="28">
        <f>SUM(I265:I265)</f>
        <v>26.64</v>
      </c>
      <c r="J266" s="22">
        <f>SUM(J265:J265)</f>
        <v>6</v>
      </c>
    </row>
    <row r="267" spans="1:10" x14ac:dyDescent="0.25">
      <c r="A267" s="269" t="s">
        <v>11</v>
      </c>
      <c r="B267" s="269"/>
      <c r="C267" s="269"/>
      <c r="D267" s="269"/>
      <c r="E267" s="269"/>
      <c r="F267" s="269"/>
      <c r="G267" s="269"/>
      <c r="H267" s="269"/>
      <c r="I267" s="269"/>
      <c r="J267" s="25"/>
    </row>
    <row r="268" spans="1:10" x14ac:dyDescent="0.25">
      <c r="A268" s="304" t="s">
        <v>125</v>
      </c>
      <c r="B268" s="304"/>
      <c r="C268" s="304"/>
      <c r="D268" s="14">
        <v>45</v>
      </c>
      <c r="E268" s="14">
        <v>10.050000000000001</v>
      </c>
      <c r="F268" s="24">
        <v>0.42</v>
      </c>
      <c r="G268" s="24">
        <v>3.18</v>
      </c>
      <c r="H268" s="24">
        <v>6.78</v>
      </c>
      <c r="I268" s="24">
        <v>57.33</v>
      </c>
      <c r="J268" s="25">
        <v>2.57</v>
      </c>
    </row>
    <row r="269" spans="1:10" ht="30" customHeight="1" x14ac:dyDescent="0.25">
      <c r="A269" s="307" t="s">
        <v>232</v>
      </c>
      <c r="B269" s="308"/>
      <c r="C269" s="309"/>
      <c r="D269" s="12" t="s">
        <v>271</v>
      </c>
      <c r="E269" s="10">
        <v>27.200500000000002</v>
      </c>
      <c r="F269" s="13">
        <f>1.47+1.9</f>
        <v>3.37</v>
      </c>
      <c r="G269" s="13">
        <f>3.85+1.76</f>
        <v>5.61</v>
      </c>
      <c r="H269" s="13">
        <f>8.22+0.16</f>
        <v>8.3800000000000008</v>
      </c>
      <c r="I269" s="11">
        <f>69+24.12</f>
        <v>93.12</v>
      </c>
      <c r="J269" s="10">
        <v>25.6</v>
      </c>
    </row>
    <row r="270" spans="1:10" x14ac:dyDescent="0.25">
      <c r="A270" s="324" t="s">
        <v>218</v>
      </c>
      <c r="B270" s="325"/>
      <c r="C270" s="326"/>
      <c r="D270" s="33">
        <v>200</v>
      </c>
      <c r="E270" s="24">
        <v>162.20050000000001</v>
      </c>
      <c r="F270" s="25">
        <v>15.95</v>
      </c>
      <c r="G270" s="25">
        <v>16.72</v>
      </c>
      <c r="H270" s="25">
        <v>25.31</v>
      </c>
      <c r="I270" s="29">
        <v>319.49</v>
      </c>
      <c r="J270" s="25">
        <v>30.55</v>
      </c>
    </row>
    <row r="271" spans="1:10" x14ac:dyDescent="0.25">
      <c r="A271" s="250" t="s">
        <v>249</v>
      </c>
      <c r="B271" s="250"/>
      <c r="C271" s="251"/>
      <c r="D271" s="10">
        <v>150</v>
      </c>
      <c r="E271" s="24">
        <v>241.05</v>
      </c>
      <c r="F271" s="25">
        <v>0.12</v>
      </c>
      <c r="G271" s="25">
        <v>0.12</v>
      </c>
      <c r="H271" s="25">
        <v>12.92</v>
      </c>
      <c r="I271" s="29">
        <v>53.24</v>
      </c>
      <c r="J271" s="25">
        <v>3</v>
      </c>
    </row>
    <row r="272" spans="1:10" x14ac:dyDescent="0.25">
      <c r="A272" s="136" t="s">
        <v>23</v>
      </c>
      <c r="B272" s="137"/>
      <c r="C272" s="138"/>
      <c r="D272" s="10">
        <v>36</v>
      </c>
      <c r="E272" s="10" t="s">
        <v>80</v>
      </c>
      <c r="F272" s="13">
        <v>2.2000000000000002</v>
      </c>
      <c r="G272" s="13">
        <v>0.43</v>
      </c>
      <c r="H272" s="13">
        <v>14.36</v>
      </c>
      <c r="I272" s="11">
        <v>70</v>
      </c>
      <c r="J272" s="25">
        <v>0</v>
      </c>
    </row>
    <row r="273" spans="1:10" ht="15" customHeight="1" x14ac:dyDescent="0.25">
      <c r="A273" s="249" t="s">
        <v>13</v>
      </c>
      <c r="B273" s="250"/>
      <c r="C273" s="251"/>
      <c r="D273" s="10">
        <v>15</v>
      </c>
      <c r="E273" s="10" t="s">
        <v>81</v>
      </c>
      <c r="F273" s="13">
        <v>1.1399999999999999</v>
      </c>
      <c r="G273" s="13">
        <v>0.12</v>
      </c>
      <c r="H273" s="13">
        <v>7.38</v>
      </c>
      <c r="I273" s="11">
        <v>35.159999999999997</v>
      </c>
      <c r="J273" s="25">
        <v>0</v>
      </c>
    </row>
    <row r="274" spans="1:10" x14ac:dyDescent="0.25">
      <c r="A274" s="173" t="s">
        <v>12</v>
      </c>
      <c r="B274" s="174"/>
      <c r="C274" s="175"/>
      <c r="D274" s="24">
        <f>D273+D272+D271+D270+D268+200+10+10</f>
        <v>666</v>
      </c>
      <c r="E274" s="24"/>
      <c r="F274" s="22">
        <f>SUM(F269:F273)</f>
        <v>22.78</v>
      </c>
      <c r="G274" s="22">
        <f>SUM(G269:G273)</f>
        <v>23</v>
      </c>
      <c r="H274" s="22">
        <f>SUM(H269:H273)</f>
        <v>68.349999999999994</v>
      </c>
      <c r="I274" s="28">
        <f>SUM(I269:I273)</f>
        <v>571.01</v>
      </c>
      <c r="J274" s="25">
        <f>SUM(J269:J273)</f>
        <v>59.150000000000006</v>
      </c>
    </row>
    <row r="275" spans="1:10" x14ac:dyDescent="0.25">
      <c r="A275" s="285" t="s">
        <v>37</v>
      </c>
      <c r="B275" s="286"/>
      <c r="C275" s="286"/>
      <c r="D275" s="286"/>
      <c r="E275" s="286"/>
      <c r="F275" s="286"/>
      <c r="G275" s="286"/>
      <c r="H275" s="286"/>
      <c r="I275" s="286"/>
      <c r="J275" s="287"/>
    </row>
    <row r="276" spans="1:10" ht="14.45" customHeight="1" x14ac:dyDescent="0.25">
      <c r="A276" s="280" t="s">
        <v>27</v>
      </c>
      <c r="B276" s="280"/>
      <c r="C276" s="280"/>
      <c r="D276" s="10">
        <v>150</v>
      </c>
      <c r="E276" s="10" t="s">
        <v>30</v>
      </c>
      <c r="F276" s="11">
        <v>4.38</v>
      </c>
      <c r="G276" s="11">
        <v>3.88</v>
      </c>
      <c r="H276" s="11">
        <v>15.02</v>
      </c>
      <c r="I276" s="11">
        <v>113.12</v>
      </c>
      <c r="J276" s="25">
        <v>1.37</v>
      </c>
    </row>
    <row r="277" spans="1:10" x14ac:dyDescent="0.25">
      <c r="A277" s="277" t="s">
        <v>116</v>
      </c>
      <c r="B277" s="278"/>
      <c r="C277" s="279"/>
      <c r="D277" s="33">
        <v>80</v>
      </c>
      <c r="E277" s="34">
        <v>778.20039999999995</v>
      </c>
      <c r="F277" s="25">
        <v>5.61</v>
      </c>
      <c r="G277" s="25">
        <v>4.6399999999999997</v>
      </c>
      <c r="H277" s="25">
        <v>44.38</v>
      </c>
      <c r="I277" s="29">
        <v>241.66</v>
      </c>
      <c r="J277" s="25">
        <v>0.17</v>
      </c>
    </row>
    <row r="278" spans="1:10" x14ac:dyDescent="0.25">
      <c r="A278" s="15" t="s">
        <v>247</v>
      </c>
      <c r="B278" s="15"/>
      <c r="C278" s="15"/>
      <c r="D278" s="24">
        <v>180</v>
      </c>
      <c r="E278" s="24" t="s">
        <v>234</v>
      </c>
      <c r="F278" s="25">
        <v>0.34</v>
      </c>
      <c r="G278" s="25">
        <v>7.0000000000000007E-2</v>
      </c>
      <c r="H278" s="25">
        <v>11.99</v>
      </c>
      <c r="I278" s="25">
        <v>86.66</v>
      </c>
      <c r="J278" s="25">
        <v>0.49</v>
      </c>
    </row>
    <row r="279" spans="1:10" x14ac:dyDescent="0.25">
      <c r="A279" s="249" t="s">
        <v>13</v>
      </c>
      <c r="B279" s="250"/>
      <c r="C279" s="251"/>
      <c r="D279" s="10">
        <v>15</v>
      </c>
      <c r="E279" s="10" t="s">
        <v>81</v>
      </c>
      <c r="F279" s="13">
        <v>1.1399999999999999</v>
      </c>
      <c r="G279" s="13">
        <v>0.12</v>
      </c>
      <c r="H279" s="13">
        <v>7.38</v>
      </c>
      <c r="I279" s="11">
        <v>35.159999999999997</v>
      </c>
      <c r="J279" s="25">
        <v>0</v>
      </c>
    </row>
    <row r="280" spans="1:10" x14ac:dyDescent="0.25">
      <c r="A280" s="237" t="s">
        <v>12</v>
      </c>
      <c r="B280" s="238"/>
      <c r="C280" s="239"/>
      <c r="D280" s="176">
        <f>SUM(D276:D279)</f>
        <v>425</v>
      </c>
      <c r="E280" s="176"/>
      <c r="F280" s="28">
        <f>SUM(F276:F279)</f>
        <v>11.47</v>
      </c>
      <c r="G280" s="28">
        <f t="shared" ref="G280:J280" si="18">SUM(G276:G279)</f>
        <v>8.7099999999999991</v>
      </c>
      <c r="H280" s="28">
        <f t="shared" si="18"/>
        <v>78.77</v>
      </c>
      <c r="I280" s="28">
        <f t="shared" si="18"/>
        <v>476.59999999999991</v>
      </c>
      <c r="J280" s="28">
        <f t="shared" si="18"/>
        <v>2.0300000000000002</v>
      </c>
    </row>
    <row r="281" spans="1:10" ht="28.5" customHeight="1" thickBot="1" x14ac:dyDescent="0.3">
      <c r="A281" s="42" t="s">
        <v>14</v>
      </c>
      <c r="B281" s="43"/>
      <c r="C281" s="43"/>
      <c r="D281" s="44"/>
      <c r="E281" s="45"/>
      <c r="F281" s="46">
        <f>F263+F266+F274+F280</f>
        <v>43.31</v>
      </c>
      <c r="G281" s="46">
        <f>G263+G266+G274+G280</f>
        <v>44.480000000000004</v>
      </c>
      <c r="H281" s="46">
        <f>H263+H266+H274+H280</f>
        <v>196.15999999999997</v>
      </c>
      <c r="I281" s="46">
        <f>I263+I266+I274+I280</f>
        <v>1396.62</v>
      </c>
      <c r="J281" s="46">
        <f>J263+J266+J274+J280</f>
        <v>68.78</v>
      </c>
    </row>
    <row r="282" spans="1:10" ht="4.5" customHeight="1" x14ac:dyDescent="0.25"/>
    <row r="283" spans="1:10" ht="44.25" customHeight="1" x14ac:dyDescent="0.25">
      <c r="A283" s="269" t="s">
        <v>0</v>
      </c>
      <c r="B283" s="269"/>
      <c r="C283" s="269"/>
      <c r="D283" s="172" t="s">
        <v>1</v>
      </c>
      <c r="E283" s="172" t="s">
        <v>2</v>
      </c>
      <c r="F283" s="22" t="s">
        <v>3</v>
      </c>
      <c r="G283" s="22" t="s">
        <v>4</v>
      </c>
      <c r="H283" s="22" t="s">
        <v>28</v>
      </c>
      <c r="I283" s="158" t="s">
        <v>75</v>
      </c>
      <c r="J283" s="22" t="s">
        <v>76</v>
      </c>
    </row>
    <row r="284" spans="1:10" x14ac:dyDescent="0.25">
      <c r="A284" s="268" t="s">
        <v>220</v>
      </c>
      <c r="B284" s="268"/>
      <c r="C284" s="268"/>
      <c r="D284" s="268"/>
      <c r="E284" s="268"/>
      <c r="F284" s="268"/>
      <c r="G284" s="268"/>
      <c r="H284" s="268"/>
      <c r="I284" s="268"/>
      <c r="J284" s="268"/>
    </row>
    <row r="285" spans="1:10" x14ac:dyDescent="0.25">
      <c r="A285" s="268" t="s">
        <v>6</v>
      </c>
      <c r="B285" s="268"/>
      <c r="C285" s="268"/>
      <c r="D285" s="268"/>
      <c r="E285" s="268"/>
      <c r="F285" s="268"/>
      <c r="G285" s="268"/>
      <c r="H285" s="268"/>
      <c r="I285" s="268"/>
      <c r="J285" s="268"/>
    </row>
    <row r="286" spans="1:10" ht="15" customHeight="1" x14ac:dyDescent="0.25">
      <c r="A286" s="268" t="s">
        <v>9</v>
      </c>
      <c r="B286" s="268"/>
      <c r="C286" s="268"/>
      <c r="D286" s="268"/>
      <c r="E286" s="268"/>
      <c r="F286" s="268"/>
      <c r="G286" s="268"/>
      <c r="H286" s="268"/>
      <c r="I286" s="268"/>
      <c r="J286" s="268"/>
    </row>
    <row r="287" spans="1:10" ht="30" customHeight="1" x14ac:dyDescent="0.25">
      <c r="A287" s="280" t="s">
        <v>182</v>
      </c>
      <c r="B287" s="280"/>
      <c r="C287" s="280"/>
      <c r="D287" s="24" t="s">
        <v>69</v>
      </c>
      <c r="E287" s="24">
        <v>93.200500000000005</v>
      </c>
      <c r="F287" s="25">
        <v>4.8099999999999996</v>
      </c>
      <c r="G287" s="25">
        <v>6.14</v>
      </c>
      <c r="H287" s="25">
        <v>19.239999999999998</v>
      </c>
      <c r="I287" s="29">
        <v>152.06</v>
      </c>
      <c r="J287" s="25">
        <v>1.4</v>
      </c>
    </row>
    <row r="288" spans="1:10" x14ac:dyDescent="0.25">
      <c r="A288" s="249" t="s">
        <v>22</v>
      </c>
      <c r="B288" s="250"/>
      <c r="C288" s="251"/>
      <c r="D288" s="10">
        <v>180</v>
      </c>
      <c r="E288" s="10" t="s">
        <v>246</v>
      </c>
      <c r="F288" s="11">
        <v>1.22</v>
      </c>
      <c r="G288" s="11">
        <v>1.05</v>
      </c>
      <c r="H288" s="11">
        <v>12.01</v>
      </c>
      <c r="I288" s="11">
        <v>62.65</v>
      </c>
      <c r="J288" s="10">
        <v>0.55000000000000004</v>
      </c>
    </row>
    <row r="289" spans="1:10" x14ac:dyDescent="0.25">
      <c r="A289" s="294" t="s">
        <v>282</v>
      </c>
      <c r="B289" s="294"/>
      <c r="C289" s="294"/>
      <c r="D289" s="135" t="s">
        <v>344</v>
      </c>
      <c r="E289" s="10" t="s">
        <v>143</v>
      </c>
      <c r="F289" s="13">
        <v>1.53</v>
      </c>
      <c r="G289" s="13">
        <v>3.48</v>
      </c>
      <c r="H289" s="13">
        <v>10.15</v>
      </c>
      <c r="I289" s="11">
        <v>79.040000000000006</v>
      </c>
      <c r="J289" s="25">
        <v>0</v>
      </c>
    </row>
    <row r="290" spans="1:10" x14ac:dyDescent="0.25">
      <c r="A290" s="243" t="s">
        <v>12</v>
      </c>
      <c r="B290" s="244"/>
      <c r="C290" s="245"/>
      <c r="D290" s="24">
        <f>24+180+154</f>
        <v>358</v>
      </c>
      <c r="E290" s="24"/>
      <c r="F290" s="22">
        <f>SUM(F287:F289)</f>
        <v>7.56</v>
      </c>
      <c r="G290" s="22">
        <f>SUM(G287:G289)</f>
        <v>10.67</v>
      </c>
      <c r="H290" s="22">
        <f>SUM(H287:H289)</f>
        <v>41.4</v>
      </c>
      <c r="I290" s="28">
        <f>SUM(I287:I289)</f>
        <v>293.75</v>
      </c>
      <c r="J290" s="25">
        <f>SUM(J287:J289)</f>
        <v>1.95</v>
      </c>
    </row>
    <row r="291" spans="1:10" x14ac:dyDescent="0.25">
      <c r="A291" s="268" t="s">
        <v>8</v>
      </c>
      <c r="B291" s="268"/>
      <c r="C291" s="268"/>
      <c r="D291" s="268"/>
      <c r="E291" s="268"/>
      <c r="F291" s="268"/>
      <c r="G291" s="268"/>
      <c r="H291" s="268"/>
      <c r="I291" s="268"/>
      <c r="J291" s="25"/>
    </row>
    <row r="292" spans="1:10" x14ac:dyDescent="0.25">
      <c r="A292" s="249" t="s">
        <v>273</v>
      </c>
      <c r="B292" s="250"/>
      <c r="C292" s="251"/>
      <c r="D292" s="10">
        <v>60</v>
      </c>
      <c r="E292" s="25" t="s">
        <v>77</v>
      </c>
      <c r="F292" s="187">
        <v>0.24</v>
      </c>
      <c r="G292" s="25">
        <v>0.24</v>
      </c>
      <c r="H292" s="25">
        <v>5.88</v>
      </c>
      <c r="I292" s="29">
        <v>26.64</v>
      </c>
      <c r="J292" s="25">
        <v>6</v>
      </c>
    </row>
    <row r="293" spans="1:10" ht="15" customHeight="1" x14ac:dyDescent="0.25">
      <c r="A293" s="243" t="s">
        <v>12</v>
      </c>
      <c r="B293" s="244"/>
      <c r="C293" s="245"/>
      <c r="D293" s="24">
        <f>SUM(D292)</f>
        <v>60</v>
      </c>
      <c r="E293" s="24"/>
      <c r="F293" s="22">
        <f>SUM(F292)</f>
        <v>0.24</v>
      </c>
      <c r="G293" s="22">
        <f t="shared" ref="G293:J293" si="19">SUM(G292)</f>
        <v>0.24</v>
      </c>
      <c r="H293" s="22">
        <f t="shared" si="19"/>
        <v>5.88</v>
      </c>
      <c r="I293" s="22">
        <f t="shared" si="19"/>
        <v>26.64</v>
      </c>
      <c r="J293" s="22">
        <f t="shared" si="19"/>
        <v>6</v>
      </c>
    </row>
    <row r="294" spans="1:10" ht="15" customHeight="1" x14ac:dyDescent="0.25">
      <c r="A294" s="268" t="s">
        <v>11</v>
      </c>
      <c r="B294" s="268"/>
      <c r="C294" s="268"/>
      <c r="D294" s="268"/>
      <c r="E294" s="268"/>
      <c r="F294" s="268"/>
      <c r="G294" s="268"/>
      <c r="H294" s="268"/>
      <c r="I294" s="268"/>
      <c r="J294" s="25"/>
    </row>
    <row r="295" spans="1:10" ht="15" customHeight="1" x14ac:dyDescent="0.25">
      <c r="A295" s="280" t="s">
        <v>333</v>
      </c>
      <c r="B295" s="280"/>
      <c r="C295" s="280"/>
      <c r="D295" s="24">
        <v>45</v>
      </c>
      <c r="E295" s="24">
        <v>78.200400000000002</v>
      </c>
      <c r="F295" s="13">
        <v>0.63600000000000001</v>
      </c>
      <c r="G295" s="13">
        <v>1.56</v>
      </c>
      <c r="H295" s="13">
        <v>3.94</v>
      </c>
      <c r="I295" s="11">
        <v>32.299999999999997</v>
      </c>
      <c r="J295" s="10">
        <v>2.93</v>
      </c>
    </row>
    <row r="296" spans="1:10" ht="27" customHeight="1" x14ac:dyDescent="0.25">
      <c r="A296" s="301" t="s">
        <v>283</v>
      </c>
      <c r="B296" s="302"/>
      <c r="C296" s="303"/>
      <c r="D296" s="33">
        <v>45</v>
      </c>
      <c r="E296" s="33">
        <v>14.2005</v>
      </c>
      <c r="F296" s="25">
        <v>0.63</v>
      </c>
      <c r="G296" s="25">
        <v>1.56</v>
      </c>
      <c r="H296" s="25">
        <v>3.94</v>
      </c>
      <c r="I296" s="29">
        <v>32.299999999999997</v>
      </c>
      <c r="J296" s="25">
        <v>2.93</v>
      </c>
    </row>
    <row r="297" spans="1:10" ht="15" customHeight="1" x14ac:dyDescent="0.25">
      <c r="A297" s="266" t="s">
        <v>164</v>
      </c>
      <c r="B297" s="266"/>
      <c r="C297" s="266"/>
      <c r="D297" s="24" t="s">
        <v>354</v>
      </c>
      <c r="E297" s="24">
        <v>37.200499999999998</v>
      </c>
      <c r="F297" s="25">
        <v>3.02</v>
      </c>
      <c r="G297" s="25">
        <v>4.2</v>
      </c>
      <c r="H297" s="25">
        <v>11.94</v>
      </c>
      <c r="I297" s="29">
        <v>97.45</v>
      </c>
      <c r="J297" s="25">
        <v>9.33</v>
      </c>
    </row>
    <row r="298" spans="1:10" x14ac:dyDescent="0.25">
      <c r="A298" s="298" t="s">
        <v>301</v>
      </c>
      <c r="B298" s="299"/>
      <c r="C298" s="300"/>
      <c r="D298" s="10">
        <v>60</v>
      </c>
      <c r="E298" s="10">
        <v>298.16000000000003</v>
      </c>
      <c r="F298" s="25">
        <f>6.59+0.86</f>
        <v>7.45</v>
      </c>
      <c r="G298" s="25">
        <f>6.44+1.36</f>
        <v>7.8000000000000007</v>
      </c>
      <c r="H298" s="25">
        <f>3.95+1.87</f>
        <v>5.82</v>
      </c>
      <c r="I298" s="29">
        <f>100.09+22.91</f>
        <v>123</v>
      </c>
      <c r="J298" s="25">
        <f>0.29+0.011</f>
        <v>0.30099999999999999</v>
      </c>
    </row>
    <row r="299" spans="1:10" ht="14.45" customHeight="1" x14ac:dyDescent="0.25">
      <c r="A299" s="266" t="s">
        <v>19</v>
      </c>
      <c r="B299" s="266"/>
      <c r="C299" s="266"/>
      <c r="D299" s="139">
        <v>130</v>
      </c>
      <c r="E299" s="10">
        <v>200.20050000000001</v>
      </c>
      <c r="F299" s="11">
        <v>2.33</v>
      </c>
      <c r="G299" s="11">
        <v>2.65</v>
      </c>
      <c r="H299" s="11">
        <v>8.3800000000000008</v>
      </c>
      <c r="I299" s="11">
        <v>67.45</v>
      </c>
      <c r="J299" s="14">
        <v>83.4</v>
      </c>
    </row>
    <row r="300" spans="1:10" x14ac:dyDescent="0.25">
      <c r="A300" s="249" t="s">
        <v>58</v>
      </c>
      <c r="B300" s="250"/>
      <c r="C300" s="251"/>
      <c r="D300" s="24">
        <v>150</v>
      </c>
      <c r="E300" s="24" t="s">
        <v>268</v>
      </c>
      <c r="F300" s="25">
        <v>0.12</v>
      </c>
      <c r="G300" s="25">
        <v>0.12</v>
      </c>
      <c r="H300" s="25">
        <v>12.92</v>
      </c>
      <c r="I300" s="29">
        <v>53.24</v>
      </c>
      <c r="J300" s="25">
        <v>3</v>
      </c>
    </row>
    <row r="301" spans="1:10" x14ac:dyDescent="0.25">
      <c r="A301" s="136" t="s">
        <v>23</v>
      </c>
      <c r="B301" s="137"/>
      <c r="C301" s="138"/>
      <c r="D301" s="10">
        <v>36</v>
      </c>
      <c r="E301" s="10" t="s">
        <v>80</v>
      </c>
      <c r="F301" s="13">
        <v>2.2000000000000002</v>
      </c>
      <c r="G301" s="13">
        <v>0.43</v>
      </c>
      <c r="H301" s="13">
        <v>14.36</v>
      </c>
      <c r="I301" s="11">
        <v>70</v>
      </c>
      <c r="J301" s="25">
        <v>0</v>
      </c>
    </row>
    <row r="302" spans="1:10" x14ac:dyDescent="0.25">
      <c r="A302" s="249" t="s">
        <v>13</v>
      </c>
      <c r="B302" s="250"/>
      <c r="C302" s="251"/>
      <c r="D302" s="10">
        <v>20</v>
      </c>
      <c r="E302" s="10" t="s">
        <v>79</v>
      </c>
      <c r="F302" s="13">
        <v>1.1399999999999999</v>
      </c>
      <c r="G302" s="13">
        <v>0.12</v>
      </c>
      <c r="H302" s="13">
        <v>7.38</v>
      </c>
      <c r="I302" s="11">
        <v>35.159999999999997</v>
      </c>
      <c r="J302" s="25">
        <v>0</v>
      </c>
    </row>
    <row r="303" spans="1:10" x14ac:dyDescent="0.25">
      <c r="A303" s="243" t="s">
        <v>12</v>
      </c>
      <c r="B303" s="244"/>
      <c r="C303" s="245"/>
      <c r="D303" s="24"/>
      <c r="E303" s="24"/>
      <c r="F303" s="22">
        <f>SUM(F296:F301)</f>
        <v>15.75</v>
      </c>
      <c r="G303" s="22">
        <f>SUM(G296:G301)</f>
        <v>16.760000000000002</v>
      </c>
      <c r="H303" s="22">
        <f>SUM(H296:H301)</f>
        <v>57.36</v>
      </c>
      <c r="I303" s="28">
        <f>SUM(I296:I302)</f>
        <v>478.6</v>
      </c>
      <c r="J303" s="25">
        <f>SUM(J296:J302)</f>
        <v>98.961000000000013</v>
      </c>
    </row>
    <row r="304" spans="1:10" x14ac:dyDescent="0.25">
      <c r="A304" s="268" t="s">
        <v>37</v>
      </c>
      <c r="B304" s="268"/>
      <c r="C304" s="268"/>
      <c r="D304" s="268"/>
      <c r="E304" s="268"/>
      <c r="F304" s="268"/>
      <c r="G304" s="268"/>
      <c r="H304" s="268"/>
      <c r="I304" s="268"/>
      <c r="J304" s="25"/>
    </row>
    <row r="305" spans="1:10" ht="15" customHeight="1" x14ac:dyDescent="0.25">
      <c r="A305" s="249" t="s">
        <v>65</v>
      </c>
      <c r="B305" s="250"/>
      <c r="C305" s="251"/>
      <c r="D305" s="24">
        <v>70</v>
      </c>
      <c r="E305" s="24">
        <v>359</v>
      </c>
      <c r="F305" s="33">
        <v>10.32</v>
      </c>
      <c r="G305" s="33">
        <v>3.3</v>
      </c>
      <c r="H305" s="33">
        <v>3.03</v>
      </c>
      <c r="I305" s="33">
        <v>85.52</v>
      </c>
      <c r="J305" s="25">
        <v>0.26</v>
      </c>
    </row>
    <row r="306" spans="1:10" x14ac:dyDescent="0.25">
      <c r="A306" s="249" t="s">
        <v>16</v>
      </c>
      <c r="B306" s="250"/>
      <c r="C306" s="251"/>
      <c r="D306" s="10">
        <v>150</v>
      </c>
      <c r="E306" s="10">
        <v>206.20050000000001</v>
      </c>
      <c r="F306" s="9">
        <v>3.22</v>
      </c>
      <c r="G306" s="9">
        <v>3.62</v>
      </c>
      <c r="H306" s="9">
        <v>21.69</v>
      </c>
      <c r="I306" s="9">
        <v>132.32</v>
      </c>
      <c r="J306" s="14">
        <v>25.5</v>
      </c>
    </row>
    <row r="307" spans="1:10" x14ac:dyDescent="0.25">
      <c r="A307" s="249" t="s">
        <v>13</v>
      </c>
      <c r="B307" s="250"/>
      <c r="C307" s="251"/>
      <c r="D307" s="10">
        <v>15</v>
      </c>
      <c r="E307" s="10" t="s">
        <v>81</v>
      </c>
      <c r="F307" s="13">
        <v>1.1399999999999999</v>
      </c>
      <c r="G307" s="13">
        <v>0.12</v>
      </c>
      <c r="H307" s="13">
        <v>7.38</v>
      </c>
      <c r="I307" s="11">
        <v>35.159999999999997</v>
      </c>
      <c r="J307" s="25">
        <v>0</v>
      </c>
    </row>
    <row r="308" spans="1:10" x14ac:dyDescent="0.25">
      <c r="A308" s="249" t="s">
        <v>285</v>
      </c>
      <c r="B308" s="250"/>
      <c r="C308" s="251"/>
      <c r="D308" s="10" t="s">
        <v>361</v>
      </c>
      <c r="E308" s="10">
        <v>251</v>
      </c>
      <c r="F308" s="13">
        <v>4.5199999999999996</v>
      </c>
      <c r="G308" s="13">
        <v>4.99</v>
      </c>
      <c r="H308" s="13">
        <f>6.24+2.99</f>
        <v>9.23</v>
      </c>
      <c r="I308" s="11">
        <f>87.98+11.98</f>
        <v>99.960000000000008</v>
      </c>
      <c r="J308" s="8">
        <v>1.0900000000000001</v>
      </c>
    </row>
    <row r="309" spans="1:10" ht="14.45" customHeight="1" x14ac:dyDescent="0.25">
      <c r="A309" s="249" t="s">
        <v>38</v>
      </c>
      <c r="B309" s="250"/>
      <c r="C309" s="251"/>
      <c r="D309" s="12">
        <v>15</v>
      </c>
      <c r="E309" s="10" t="s">
        <v>77</v>
      </c>
      <c r="F309" s="25">
        <v>1.1499999999999999</v>
      </c>
      <c r="G309" s="25">
        <v>1.65</v>
      </c>
      <c r="H309" s="25">
        <v>10.65</v>
      </c>
      <c r="I309" s="29">
        <v>62.12</v>
      </c>
      <c r="J309" s="25">
        <v>0</v>
      </c>
    </row>
    <row r="310" spans="1:10" x14ac:dyDescent="0.25">
      <c r="A310" s="253" t="s">
        <v>12</v>
      </c>
      <c r="B310" s="254"/>
      <c r="C310" s="255"/>
      <c r="D310" s="172">
        <f>15+153+D307+D306+D305</f>
        <v>403</v>
      </c>
      <c r="E310" s="172"/>
      <c r="F310" s="22">
        <f>SUM(F305:F309)</f>
        <v>20.350000000000001</v>
      </c>
      <c r="G310" s="22">
        <f t="shared" ref="G310:J310" si="20">SUM(G305:G309)</f>
        <v>13.680000000000001</v>
      </c>
      <c r="H310" s="22">
        <f t="shared" si="20"/>
        <v>51.98</v>
      </c>
      <c r="I310" s="22">
        <f t="shared" si="20"/>
        <v>415.08</v>
      </c>
      <c r="J310" s="22">
        <f t="shared" si="20"/>
        <v>26.85</v>
      </c>
    </row>
    <row r="311" spans="1:10" x14ac:dyDescent="0.25">
      <c r="A311" s="243" t="s">
        <v>14</v>
      </c>
      <c r="B311" s="244"/>
      <c r="C311" s="245"/>
      <c r="D311" s="172"/>
      <c r="E311" s="172"/>
      <c r="F311" s="22">
        <f>F290+F293+F303+F310</f>
        <v>43.900000000000006</v>
      </c>
      <c r="G311" s="22">
        <f>G290+G293+G303+G310</f>
        <v>41.35</v>
      </c>
      <c r="H311" s="22">
        <f>H290+H293+H303+H310</f>
        <v>156.62</v>
      </c>
      <c r="I311" s="28">
        <f>I310+I303+I293+I290</f>
        <v>1214.0700000000002</v>
      </c>
      <c r="J311" s="25">
        <f>J310+J303+J329+J293+J290</f>
        <v>152.221</v>
      </c>
    </row>
    <row r="312" spans="1:10" ht="9" customHeight="1" x14ac:dyDescent="0.25">
      <c r="A312" s="173"/>
      <c r="B312" s="174"/>
      <c r="C312" s="175"/>
      <c r="D312" s="172"/>
      <c r="E312" s="172"/>
      <c r="F312" s="22"/>
      <c r="G312" s="22"/>
      <c r="H312" s="22"/>
      <c r="I312" s="28"/>
      <c r="J312" s="25"/>
    </row>
    <row r="313" spans="1:10" ht="45" customHeight="1" x14ac:dyDescent="0.25">
      <c r="A313" s="269" t="s">
        <v>0</v>
      </c>
      <c r="B313" s="269"/>
      <c r="C313" s="269"/>
      <c r="D313" s="172" t="s">
        <v>1</v>
      </c>
      <c r="E313" s="172" t="s">
        <v>2</v>
      </c>
      <c r="F313" s="22" t="s">
        <v>3</v>
      </c>
      <c r="G313" s="22" t="s">
        <v>4</v>
      </c>
      <c r="H313" s="22" t="s">
        <v>28</v>
      </c>
      <c r="I313" s="158" t="s">
        <v>75</v>
      </c>
      <c r="J313" s="22" t="s">
        <v>76</v>
      </c>
    </row>
    <row r="314" spans="1:10" x14ac:dyDescent="0.25">
      <c r="A314" s="269" t="s">
        <v>220</v>
      </c>
      <c r="B314" s="269"/>
      <c r="C314" s="269"/>
      <c r="D314" s="269"/>
      <c r="E314" s="269"/>
      <c r="F314" s="269"/>
      <c r="G314" s="269"/>
      <c r="H314" s="269"/>
      <c r="I314" s="269"/>
      <c r="J314" s="269"/>
    </row>
    <row r="315" spans="1:10" x14ac:dyDescent="0.25">
      <c r="A315" s="269" t="s">
        <v>15</v>
      </c>
      <c r="B315" s="269"/>
      <c r="C315" s="269"/>
      <c r="D315" s="269"/>
      <c r="E315" s="269"/>
      <c r="F315" s="269"/>
      <c r="G315" s="269"/>
      <c r="H315" s="269"/>
      <c r="I315" s="269"/>
      <c r="J315" s="269"/>
    </row>
    <row r="316" spans="1:10" x14ac:dyDescent="0.25">
      <c r="A316" s="269" t="s">
        <v>9</v>
      </c>
      <c r="B316" s="269"/>
      <c r="C316" s="269"/>
      <c r="D316" s="269"/>
      <c r="E316" s="269"/>
      <c r="F316" s="269"/>
      <c r="G316" s="269"/>
      <c r="H316" s="269"/>
      <c r="I316" s="269"/>
      <c r="J316" s="269"/>
    </row>
    <row r="317" spans="1:10" ht="30" customHeight="1" x14ac:dyDescent="0.25">
      <c r="A317" s="280" t="s">
        <v>207</v>
      </c>
      <c r="B317" s="280"/>
      <c r="C317" s="280"/>
      <c r="D317" s="10" t="s">
        <v>69</v>
      </c>
      <c r="E317" s="10" t="s">
        <v>347</v>
      </c>
      <c r="F317" s="13">
        <v>4.4000000000000004</v>
      </c>
      <c r="G317" s="13">
        <v>5.09</v>
      </c>
      <c r="H317" s="13">
        <v>21.73</v>
      </c>
      <c r="I317" s="11">
        <v>150.86000000000001</v>
      </c>
      <c r="J317" s="10">
        <v>1.03</v>
      </c>
    </row>
    <row r="318" spans="1:10" ht="18" customHeight="1" x14ac:dyDescent="0.25">
      <c r="A318" s="249" t="s">
        <v>151</v>
      </c>
      <c r="B318" s="250"/>
      <c r="C318" s="251"/>
      <c r="D318" s="24">
        <v>180</v>
      </c>
      <c r="E318" s="24" t="s">
        <v>248</v>
      </c>
      <c r="F318" s="13">
        <v>5.22</v>
      </c>
      <c r="G318" s="13">
        <v>4.5</v>
      </c>
      <c r="H318" s="13">
        <v>21.14</v>
      </c>
      <c r="I318" s="13">
        <v>147.19</v>
      </c>
      <c r="J318" s="14">
        <v>2.34</v>
      </c>
    </row>
    <row r="319" spans="1:10" ht="28.9" customHeight="1" x14ac:dyDescent="0.25">
      <c r="A319" s="298" t="s">
        <v>314</v>
      </c>
      <c r="B319" s="299"/>
      <c r="C319" s="300"/>
      <c r="D319" s="135" t="s">
        <v>260</v>
      </c>
      <c r="E319" s="10" t="s">
        <v>144</v>
      </c>
      <c r="F319" s="13">
        <v>3.51</v>
      </c>
      <c r="G319" s="13">
        <v>6.21</v>
      </c>
      <c r="H319" s="13">
        <v>10.17</v>
      </c>
      <c r="I319" s="11">
        <v>111.5</v>
      </c>
      <c r="J319" s="14">
        <v>0.05</v>
      </c>
    </row>
    <row r="320" spans="1:10" x14ac:dyDescent="0.25">
      <c r="A320" s="243" t="s">
        <v>12</v>
      </c>
      <c r="B320" s="244"/>
      <c r="C320" s="245"/>
      <c r="D320" s="24">
        <f>154+D318+20+7.5+5</f>
        <v>366.5</v>
      </c>
      <c r="E320" s="24"/>
      <c r="F320" s="22">
        <f t="shared" ref="F320:I320" si="21">SUM(F317:F319)</f>
        <v>13.13</v>
      </c>
      <c r="G320" s="22">
        <f t="shared" si="21"/>
        <v>15.8</v>
      </c>
      <c r="H320" s="22">
        <f t="shared" si="21"/>
        <v>53.040000000000006</v>
      </c>
      <c r="I320" s="28">
        <f t="shared" si="21"/>
        <v>409.55</v>
      </c>
      <c r="J320" s="25">
        <f>SUM(J317:J319)</f>
        <v>3.42</v>
      </c>
    </row>
    <row r="321" spans="1:10" ht="15" customHeight="1" x14ac:dyDescent="0.25">
      <c r="A321" s="269" t="s">
        <v>8</v>
      </c>
      <c r="B321" s="269"/>
      <c r="C321" s="269"/>
      <c r="D321" s="269"/>
      <c r="E321" s="269"/>
      <c r="F321" s="269"/>
      <c r="G321" s="269"/>
      <c r="H321" s="269"/>
      <c r="I321" s="269"/>
      <c r="J321" s="25"/>
    </row>
    <row r="322" spans="1:10" ht="15" customHeight="1" x14ac:dyDescent="0.25">
      <c r="A322" s="249" t="s">
        <v>38</v>
      </c>
      <c r="B322" s="250"/>
      <c r="C322" s="251"/>
      <c r="D322" s="33">
        <v>10</v>
      </c>
      <c r="E322" s="33" t="s">
        <v>77</v>
      </c>
      <c r="F322" s="33">
        <v>0.77</v>
      </c>
      <c r="G322" s="33">
        <v>1.1000000000000001</v>
      </c>
      <c r="H322" s="33">
        <v>7.1</v>
      </c>
      <c r="I322" s="33">
        <v>41.41</v>
      </c>
      <c r="J322" s="25">
        <v>0</v>
      </c>
    </row>
    <row r="323" spans="1:10" ht="15" customHeight="1" x14ac:dyDescent="0.25">
      <c r="A323" s="249" t="s">
        <v>24</v>
      </c>
      <c r="B323" s="250"/>
      <c r="C323" s="251"/>
      <c r="D323" s="24">
        <v>180</v>
      </c>
      <c r="E323" s="24" t="s">
        <v>245</v>
      </c>
      <c r="F323" s="25">
        <v>0.9</v>
      </c>
      <c r="G323" s="25">
        <v>0.18</v>
      </c>
      <c r="H323" s="25">
        <v>18.18</v>
      </c>
      <c r="I323" s="25">
        <v>77.94</v>
      </c>
      <c r="J323" s="25">
        <v>3.6</v>
      </c>
    </row>
    <row r="324" spans="1:10" ht="15" customHeight="1" x14ac:dyDescent="0.25">
      <c r="A324" s="243" t="s">
        <v>12</v>
      </c>
      <c r="B324" s="244"/>
      <c r="C324" s="245"/>
      <c r="D324" s="24">
        <f>SUM(D322:D323)</f>
        <v>190</v>
      </c>
      <c r="E324" s="24"/>
      <c r="F324" s="22">
        <f>SUM(F322:F323)</f>
        <v>1.67</v>
      </c>
      <c r="G324" s="22">
        <f t="shared" ref="G324:J324" si="22">SUM(G322:G323)</f>
        <v>1.28</v>
      </c>
      <c r="H324" s="22">
        <f t="shared" si="22"/>
        <v>25.28</v>
      </c>
      <c r="I324" s="22">
        <f t="shared" si="22"/>
        <v>119.35</v>
      </c>
      <c r="J324" s="22">
        <f t="shared" si="22"/>
        <v>3.6</v>
      </c>
    </row>
    <row r="325" spans="1:10" ht="11.25" customHeight="1" x14ac:dyDescent="0.25">
      <c r="A325" s="269" t="s">
        <v>11</v>
      </c>
      <c r="B325" s="269"/>
      <c r="C325" s="269"/>
      <c r="D325" s="269"/>
      <c r="E325" s="269"/>
      <c r="F325" s="269"/>
      <c r="G325" s="269"/>
      <c r="H325" s="269"/>
      <c r="I325" s="269"/>
      <c r="J325" s="25"/>
    </row>
    <row r="326" spans="1:10" ht="31.5" customHeight="1" x14ac:dyDescent="0.25">
      <c r="A326" s="307" t="s">
        <v>335</v>
      </c>
      <c r="B326" s="308"/>
      <c r="C326" s="309"/>
      <c r="D326" s="10">
        <v>45</v>
      </c>
      <c r="E326" s="10">
        <v>11.2006</v>
      </c>
      <c r="F326" s="25">
        <v>0.82</v>
      </c>
      <c r="G326" s="25">
        <v>2.5</v>
      </c>
      <c r="H326" s="25">
        <v>3.3</v>
      </c>
      <c r="I326" s="29">
        <v>40</v>
      </c>
      <c r="J326" s="25">
        <v>20.100000000000001</v>
      </c>
    </row>
    <row r="327" spans="1:10" ht="18.75" customHeight="1" x14ac:dyDescent="0.25">
      <c r="A327" s="298" t="s">
        <v>336</v>
      </c>
      <c r="B327" s="299"/>
      <c r="C327" s="300"/>
      <c r="D327" s="24">
        <v>45</v>
      </c>
      <c r="E327" s="10">
        <v>5.2004999999999999</v>
      </c>
      <c r="F327" s="25">
        <v>0.65</v>
      </c>
      <c r="G327" s="25">
        <v>3</v>
      </c>
      <c r="H327" s="25">
        <v>3.23</v>
      </c>
      <c r="I327" s="29">
        <v>42.74</v>
      </c>
      <c r="J327" s="25">
        <v>27</v>
      </c>
    </row>
    <row r="328" spans="1:10" ht="15" customHeight="1" x14ac:dyDescent="0.25">
      <c r="A328" s="280" t="s">
        <v>223</v>
      </c>
      <c r="B328" s="280"/>
      <c r="C328" s="280"/>
      <c r="D328" s="26" t="s">
        <v>269</v>
      </c>
      <c r="E328" s="24">
        <v>34.200499999999998</v>
      </c>
      <c r="F328" s="25">
        <f>2.2+1.88</f>
        <v>4.08</v>
      </c>
      <c r="G328" s="25">
        <f>4.4+1.76</f>
        <v>6.16</v>
      </c>
      <c r="H328" s="25">
        <f>14.16+0.08</f>
        <v>14.24</v>
      </c>
      <c r="I328" s="29">
        <f>98.29+23.72</f>
        <v>122.01</v>
      </c>
      <c r="J328" s="25">
        <f>27.63+0.1</f>
        <v>27.73</v>
      </c>
    </row>
    <row r="329" spans="1:10" ht="15" customHeight="1" x14ac:dyDescent="0.25">
      <c r="A329" s="298" t="s">
        <v>302</v>
      </c>
      <c r="B329" s="299"/>
      <c r="C329" s="300"/>
      <c r="D329" s="48">
        <v>150</v>
      </c>
      <c r="E329" s="24">
        <v>309.16000000000003</v>
      </c>
      <c r="F329" s="13">
        <v>22.86</v>
      </c>
      <c r="G329" s="13">
        <v>7.1</v>
      </c>
      <c r="H329" s="13">
        <v>85.96</v>
      </c>
      <c r="I329" s="11">
        <v>499.12</v>
      </c>
      <c r="J329" s="25">
        <v>18.46</v>
      </c>
    </row>
    <row r="330" spans="1:10" ht="15" customHeight="1" x14ac:dyDescent="0.25">
      <c r="A330" s="15" t="s">
        <v>247</v>
      </c>
      <c r="B330" s="15"/>
      <c r="C330" s="15"/>
      <c r="D330" s="24">
        <v>150</v>
      </c>
      <c r="E330" s="24" t="s">
        <v>234</v>
      </c>
      <c r="F330" s="25">
        <v>0.27</v>
      </c>
      <c r="G330" s="25">
        <v>0.06</v>
      </c>
      <c r="H330" s="25">
        <v>9.99</v>
      </c>
      <c r="I330" s="29">
        <v>70.930000000000007</v>
      </c>
      <c r="J330" s="25">
        <v>0.39</v>
      </c>
    </row>
    <row r="331" spans="1:10" x14ac:dyDescent="0.25">
      <c r="A331" s="136" t="s">
        <v>23</v>
      </c>
      <c r="B331" s="137"/>
      <c r="C331" s="138"/>
      <c r="D331" s="10">
        <v>36</v>
      </c>
      <c r="E331" s="10" t="s">
        <v>80</v>
      </c>
      <c r="F331" s="13">
        <v>2.2000000000000002</v>
      </c>
      <c r="G331" s="13">
        <v>0.43</v>
      </c>
      <c r="H331" s="13">
        <v>14.36</v>
      </c>
      <c r="I331" s="11">
        <v>70</v>
      </c>
      <c r="J331" s="25">
        <v>0</v>
      </c>
    </row>
    <row r="332" spans="1:10" x14ac:dyDescent="0.25">
      <c r="A332" s="249" t="s">
        <v>13</v>
      </c>
      <c r="B332" s="250"/>
      <c r="C332" s="251"/>
      <c r="D332" s="10">
        <v>15</v>
      </c>
      <c r="E332" s="10" t="s">
        <v>81</v>
      </c>
      <c r="F332" s="13">
        <v>1.1399999999999999</v>
      </c>
      <c r="G332" s="13">
        <v>0.12</v>
      </c>
      <c r="H332" s="13">
        <v>7.38</v>
      </c>
      <c r="I332" s="11">
        <v>35.159999999999997</v>
      </c>
      <c r="J332" s="25">
        <v>0</v>
      </c>
    </row>
    <row r="333" spans="1:10" x14ac:dyDescent="0.25">
      <c r="A333" s="243" t="s">
        <v>12</v>
      </c>
      <c r="B333" s="244"/>
      <c r="C333" s="245"/>
      <c r="D333" s="24">
        <f>D326+200+10+15+D329+D330+D331+D332</f>
        <v>621</v>
      </c>
      <c r="E333" s="24"/>
      <c r="F333" s="22">
        <f>SUM(F327:F332)</f>
        <v>31.2</v>
      </c>
      <c r="G333" s="22">
        <f>SUM(G327:G332)</f>
        <v>16.869999999999997</v>
      </c>
      <c r="H333" s="22">
        <f>SUM(H327:H332)</f>
        <v>135.16</v>
      </c>
      <c r="I333" s="28">
        <f>SUM(I327:I332)</f>
        <v>839.95999999999992</v>
      </c>
      <c r="J333" s="25">
        <f>SUM(J327:J332)</f>
        <v>73.58</v>
      </c>
    </row>
    <row r="334" spans="1:10" x14ac:dyDescent="0.25">
      <c r="A334" s="268" t="s">
        <v>37</v>
      </c>
      <c r="B334" s="268"/>
      <c r="C334" s="268"/>
      <c r="D334" s="268"/>
      <c r="E334" s="268"/>
      <c r="F334" s="268"/>
      <c r="G334" s="268"/>
      <c r="H334" s="268"/>
      <c r="I334" s="268"/>
      <c r="J334" s="25"/>
    </row>
    <row r="335" spans="1:10" ht="15" customHeight="1" x14ac:dyDescent="0.25">
      <c r="A335" s="307" t="s">
        <v>303</v>
      </c>
      <c r="B335" s="308"/>
      <c r="C335" s="309"/>
      <c r="D335" s="24" t="s">
        <v>360</v>
      </c>
      <c r="E335" s="24" t="s">
        <v>305</v>
      </c>
      <c r="F335" s="25">
        <f>20.36+0.67</f>
        <v>21.03</v>
      </c>
      <c r="G335" s="25">
        <f>8.48+1.26</f>
        <v>9.74</v>
      </c>
      <c r="H335" s="25">
        <f>14.5+3.59</f>
        <v>18.09</v>
      </c>
      <c r="I335" s="29">
        <f>214.49+28.01</f>
        <v>242.5</v>
      </c>
      <c r="J335" s="25">
        <v>2.93</v>
      </c>
    </row>
    <row r="336" spans="1:10" x14ac:dyDescent="0.25">
      <c r="A336" s="249" t="s">
        <v>13</v>
      </c>
      <c r="B336" s="250"/>
      <c r="C336" s="251"/>
      <c r="D336" s="10">
        <v>15</v>
      </c>
      <c r="E336" s="10" t="s">
        <v>81</v>
      </c>
      <c r="F336" s="13">
        <v>1.1399999999999999</v>
      </c>
      <c r="G336" s="13">
        <v>0.12</v>
      </c>
      <c r="H336" s="13">
        <v>7.38</v>
      </c>
      <c r="I336" s="11">
        <v>35.159999999999997</v>
      </c>
      <c r="J336" s="25">
        <v>0</v>
      </c>
    </row>
    <row r="337" spans="1:10" x14ac:dyDescent="0.25">
      <c r="A337" s="249" t="s">
        <v>46</v>
      </c>
      <c r="B337" s="250"/>
      <c r="C337" s="251"/>
      <c r="D337" s="10">
        <v>150</v>
      </c>
      <c r="E337" s="10">
        <v>255.20050000000001</v>
      </c>
      <c r="F337" s="13">
        <v>4.3499999999999996</v>
      </c>
      <c r="G337" s="13">
        <v>3.75</v>
      </c>
      <c r="H337" s="13">
        <v>17.989999999999998</v>
      </c>
      <c r="I337" s="11">
        <v>124.17</v>
      </c>
      <c r="J337" s="14">
        <v>1.95</v>
      </c>
    </row>
    <row r="338" spans="1:10" x14ac:dyDescent="0.25">
      <c r="A338" s="249" t="s">
        <v>273</v>
      </c>
      <c r="B338" s="250"/>
      <c r="C338" s="251"/>
      <c r="D338" s="10">
        <v>120</v>
      </c>
      <c r="E338" s="25" t="s">
        <v>77</v>
      </c>
      <c r="F338" s="187">
        <v>0.48</v>
      </c>
      <c r="G338" s="25">
        <v>0.48</v>
      </c>
      <c r="H338" s="25">
        <v>11.76</v>
      </c>
      <c r="I338" s="29">
        <v>53.28</v>
      </c>
      <c r="J338" s="25">
        <v>12</v>
      </c>
    </row>
    <row r="339" spans="1:10" ht="22.5" customHeight="1" x14ac:dyDescent="0.25">
      <c r="A339" s="243" t="s">
        <v>12</v>
      </c>
      <c r="B339" s="244"/>
      <c r="C339" s="245"/>
      <c r="D339" s="172">
        <f>100+15+D336+D337+D338</f>
        <v>400</v>
      </c>
      <c r="E339" s="172"/>
      <c r="F339" s="22">
        <f>SUM(F335:F338)</f>
        <v>27.000000000000004</v>
      </c>
      <c r="G339" s="22">
        <f t="shared" ref="G339:J339" si="23">SUM(G335:G338)</f>
        <v>14.09</v>
      </c>
      <c r="H339" s="22">
        <f t="shared" si="23"/>
        <v>55.219999999999992</v>
      </c>
      <c r="I339" s="22">
        <f t="shared" si="23"/>
        <v>455.11</v>
      </c>
      <c r="J339" s="22">
        <f t="shared" si="23"/>
        <v>16.88</v>
      </c>
    </row>
    <row r="340" spans="1:10" ht="27.75" customHeight="1" x14ac:dyDescent="0.25">
      <c r="A340" s="243" t="s">
        <v>14</v>
      </c>
      <c r="B340" s="244"/>
      <c r="C340" s="245"/>
      <c r="D340" s="172"/>
      <c r="E340" s="172"/>
      <c r="F340" s="22">
        <f>F320+F333+F339+F324</f>
        <v>73</v>
      </c>
      <c r="G340" s="22">
        <f t="shared" ref="G340:J340" si="24">G320+G333+G339+G324</f>
        <v>48.040000000000006</v>
      </c>
      <c r="H340" s="22">
        <f t="shared" si="24"/>
        <v>268.7</v>
      </c>
      <c r="I340" s="22">
        <f t="shared" si="24"/>
        <v>1823.9699999999998</v>
      </c>
      <c r="J340" s="22">
        <f t="shared" si="24"/>
        <v>97.47999999999999</v>
      </c>
    </row>
    <row r="341" spans="1:10" ht="50.25" customHeight="1" x14ac:dyDescent="0.25">
      <c r="A341" s="269" t="s">
        <v>0</v>
      </c>
      <c r="B341" s="269"/>
      <c r="C341" s="269"/>
      <c r="D341" s="172" t="s">
        <v>1</v>
      </c>
      <c r="E341" s="172" t="s">
        <v>2</v>
      </c>
      <c r="F341" s="22" t="s">
        <v>3</v>
      </c>
      <c r="G341" s="22" t="s">
        <v>4</v>
      </c>
      <c r="H341" s="22" t="s">
        <v>28</v>
      </c>
      <c r="I341" s="158" t="s">
        <v>75</v>
      </c>
      <c r="J341" s="22" t="s">
        <v>76</v>
      </c>
    </row>
    <row r="342" spans="1:10" ht="15" customHeight="1" x14ac:dyDescent="0.25">
      <c r="A342" s="269" t="s">
        <v>220</v>
      </c>
      <c r="B342" s="269"/>
      <c r="C342" s="269"/>
      <c r="D342" s="269"/>
      <c r="E342" s="269"/>
      <c r="F342" s="269"/>
      <c r="G342" s="269"/>
      <c r="H342" s="269"/>
      <c r="I342" s="269"/>
      <c r="J342" s="269"/>
    </row>
    <row r="343" spans="1:10" x14ac:dyDescent="0.25">
      <c r="A343" s="269" t="s">
        <v>17</v>
      </c>
      <c r="B343" s="269"/>
      <c r="C343" s="269"/>
      <c r="D343" s="269"/>
      <c r="E343" s="269"/>
      <c r="F343" s="269"/>
      <c r="G343" s="269"/>
      <c r="H343" s="269"/>
      <c r="I343" s="269"/>
      <c r="J343" s="269"/>
    </row>
    <row r="344" spans="1:10" x14ac:dyDescent="0.25">
      <c r="A344" s="269" t="s">
        <v>9</v>
      </c>
      <c r="B344" s="269"/>
      <c r="C344" s="269"/>
      <c r="D344" s="269"/>
      <c r="E344" s="269"/>
      <c r="F344" s="269"/>
      <c r="G344" s="269"/>
      <c r="H344" s="269"/>
      <c r="I344" s="269"/>
      <c r="J344" s="269"/>
    </row>
    <row r="345" spans="1:10" ht="25.9" customHeight="1" x14ac:dyDescent="0.25">
      <c r="A345" s="270" t="s">
        <v>184</v>
      </c>
      <c r="B345" s="270"/>
      <c r="C345" s="270"/>
      <c r="D345" s="24" t="s">
        <v>69</v>
      </c>
      <c r="E345" s="24">
        <v>96.200500000000005</v>
      </c>
      <c r="F345" s="25">
        <v>4.5199999999999996</v>
      </c>
      <c r="G345" s="25">
        <v>5.45</v>
      </c>
      <c r="H345" s="25">
        <v>20.72</v>
      </c>
      <c r="I345" s="29">
        <v>150.57</v>
      </c>
      <c r="J345" s="25">
        <v>0.98</v>
      </c>
    </row>
    <row r="346" spans="1:10" ht="14.45" customHeight="1" x14ac:dyDescent="0.25">
      <c r="A346" s="310" t="s">
        <v>153</v>
      </c>
      <c r="B346" s="310"/>
      <c r="C346" s="310"/>
      <c r="D346" s="65">
        <v>180</v>
      </c>
      <c r="E346" s="58" t="s">
        <v>154</v>
      </c>
      <c r="F346" s="13">
        <v>6.32</v>
      </c>
      <c r="G346" s="13">
        <v>5.29</v>
      </c>
      <c r="H346" s="13">
        <v>21.62</v>
      </c>
      <c r="I346" s="11">
        <v>160.57</v>
      </c>
      <c r="J346" s="58">
        <v>2.54</v>
      </c>
    </row>
    <row r="347" spans="1:10" x14ac:dyDescent="0.25">
      <c r="A347" s="294" t="s">
        <v>315</v>
      </c>
      <c r="B347" s="294"/>
      <c r="C347" s="294"/>
      <c r="D347" s="135" t="s">
        <v>344</v>
      </c>
      <c r="E347" s="10" t="s">
        <v>143</v>
      </c>
      <c r="F347" s="13">
        <v>1.53</v>
      </c>
      <c r="G347" s="13">
        <v>3.48</v>
      </c>
      <c r="H347" s="13">
        <v>1.1499999999999999</v>
      </c>
      <c r="I347" s="11">
        <v>79.040000000000006</v>
      </c>
      <c r="J347" s="25">
        <v>0</v>
      </c>
    </row>
    <row r="348" spans="1:10" x14ac:dyDescent="0.25">
      <c r="A348" s="243" t="s">
        <v>12</v>
      </c>
      <c r="B348" s="244"/>
      <c r="C348" s="245"/>
      <c r="D348" s="24">
        <f>154+D346+24</f>
        <v>358</v>
      </c>
      <c r="E348" s="24"/>
      <c r="F348" s="22">
        <f>SUM(F345:F347)</f>
        <v>12.37</v>
      </c>
      <c r="G348" s="22">
        <f>SUM(G345:G347)</f>
        <v>14.22</v>
      </c>
      <c r="H348" s="22">
        <f>SUM(H345:H347)</f>
        <v>43.49</v>
      </c>
      <c r="I348" s="28">
        <f>SUM(I345:I347)</f>
        <v>390.18</v>
      </c>
      <c r="J348" s="25">
        <f>SUM(J345:J347)</f>
        <v>3.52</v>
      </c>
    </row>
    <row r="349" spans="1:10" ht="15" customHeight="1" x14ac:dyDescent="0.25">
      <c r="A349" s="269" t="s">
        <v>8</v>
      </c>
      <c r="B349" s="269"/>
      <c r="C349" s="269"/>
      <c r="D349" s="269"/>
      <c r="E349" s="269"/>
      <c r="F349" s="269"/>
      <c r="G349" s="269"/>
      <c r="H349" s="269"/>
      <c r="I349" s="269"/>
      <c r="J349" s="25"/>
    </row>
    <row r="350" spans="1:10" ht="15" customHeight="1" x14ac:dyDescent="0.25">
      <c r="A350" s="249" t="s">
        <v>273</v>
      </c>
      <c r="B350" s="250"/>
      <c r="C350" s="251"/>
      <c r="D350" s="10">
        <v>60</v>
      </c>
      <c r="E350" s="10" t="s">
        <v>77</v>
      </c>
      <c r="F350" s="13">
        <v>0.24</v>
      </c>
      <c r="G350" s="13">
        <v>0.24</v>
      </c>
      <c r="H350" s="13">
        <v>5.88</v>
      </c>
      <c r="I350" s="11">
        <v>26.64</v>
      </c>
      <c r="J350" s="6">
        <v>6</v>
      </c>
    </row>
    <row r="351" spans="1:10" x14ac:dyDescent="0.25">
      <c r="A351" s="243" t="s">
        <v>12</v>
      </c>
      <c r="B351" s="244"/>
      <c r="C351" s="245"/>
      <c r="D351" s="24">
        <f>SUM(D350)</f>
        <v>60</v>
      </c>
      <c r="E351" s="24"/>
      <c r="F351" s="22">
        <f>SUM(F350:F350)</f>
        <v>0.24</v>
      </c>
      <c r="G351" s="22">
        <f>SUM(G350:G350)</f>
        <v>0.24</v>
      </c>
      <c r="H351" s="22">
        <f>SUM(H350:H350)</f>
        <v>5.88</v>
      </c>
      <c r="I351" s="28">
        <f>SUM(I350:I350)</f>
        <v>26.64</v>
      </c>
      <c r="J351" s="22">
        <f>SUM(J350:J350)</f>
        <v>6</v>
      </c>
    </row>
    <row r="352" spans="1:10" x14ac:dyDescent="0.25">
      <c r="A352" s="268" t="s">
        <v>11</v>
      </c>
      <c r="B352" s="268"/>
      <c r="C352" s="268"/>
      <c r="D352" s="268"/>
      <c r="E352" s="268"/>
      <c r="F352" s="268"/>
      <c r="G352" s="268"/>
      <c r="H352" s="268"/>
      <c r="I352" s="268"/>
      <c r="J352" s="25"/>
    </row>
    <row r="353" spans="1:10" ht="14.45" customHeight="1" x14ac:dyDescent="0.25">
      <c r="A353" s="289" t="s">
        <v>251</v>
      </c>
      <c r="B353" s="289"/>
      <c r="C353" s="289"/>
      <c r="D353" s="8">
        <v>45</v>
      </c>
      <c r="E353" s="8" t="s">
        <v>166</v>
      </c>
      <c r="F353" s="9">
        <v>0.76</v>
      </c>
      <c r="G353" s="9">
        <v>0.05</v>
      </c>
      <c r="H353" s="9">
        <v>4.4400000000000004</v>
      </c>
      <c r="I353" s="9">
        <v>21.22</v>
      </c>
      <c r="J353" s="14">
        <v>5.04</v>
      </c>
    </row>
    <row r="354" spans="1:10" x14ac:dyDescent="0.25">
      <c r="A354" s="280" t="s">
        <v>42</v>
      </c>
      <c r="B354" s="280"/>
      <c r="C354" s="280"/>
      <c r="D354" s="10">
        <v>45</v>
      </c>
      <c r="E354" s="8">
        <v>15</v>
      </c>
      <c r="F354" s="9">
        <v>0.5</v>
      </c>
      <c r="G354" s="9">
        <v>3.1</v>
      </c>
      <c r="H354" s="9">
        <v>1.7</v>
      </c>
      <c r="I354" s="9">
        <v>36</v>
      </c>
      <c r="J354" s="14">
        <v>4.7</v>
      </c>
    </row>
    <row r="355" spans="1:10" ht="28.15" customHeight="1" x14ac:dyDescent="0.25">
      <c r="A355" s="280" t="s">
        <v>225</v>
      </c>
      <c r="B355" s="280"/>
      <c r="C355" s="280"/>
      <c r="D355" s="26">
        <v>200</v>
      </c>
      <c r="E355" s="24">
        <v>38.201300000000003</v>
      </c>
      <c r="F355" s="25">
        <v>2.29</v>
      </c>
      <c r="G355" s="25">
        <v>1.57</v>
      </c>
      <c r="H355" s="25">
        <v>16.63</v>
      </c>
      <c r="I355" s="29">
        <v>89.81</v>
      </c>
      <c r="J355" s="25">
        <v>13.2</v>
      </c>
    </row>
    <row r="356" spans="1:10" ht="18.75" customHeight="1" x14ac:dyDescent="0.25">
      <c r="A356" s="324" t="s">
        <v>226</v>
      </c>
      <c r="B356" s="325"/>
      <c r="C356" s="326"/>
      <c r="D356" s="33">
        <v>240</v>
      </c>
      <c r="E356" s="24" t="s">
        <v>219</v>
      </c>
      <c r="F356" s="25">
        <v>15.28</v>
      </c>
      <c r="G356" s="25">
        <v>13.85</v>
      </c>
      <c r="H356" s="25">
        <v>11.85</v>
      </c>
      <c r="I356" s="29">
        <v>232.11</v>
      </c>
      <c r="J356" s="25">
        <v>127.39</v>
      </c>
    </row>
    <row r="357" spans="1:10" x14ac:dyDescent="0.25">
      <c r="A357" s="295" t="s">
        <v>323</v>
      </c>
      <c r="B357" s="296"/>
      <c r="C357" s="297"/>
      <c r="D357" s="24">
        <v>150</v>
      </c>
      <c r="E357" s="24">
        <v>394.16</v>
      </c>
      <c r="F357" s="25">
        <v>0.23</v>
      </c>
      <c r="G357" s="25">
        <v>0.05</v>
      </c>
      <c r="H357" s="25">
        <v>16.559999999999999</v>
      </c>
      <c r="I357" s="29">
        <v>67.61</v>
      </c>
      <c r="J357" s="25">
        <v>0.39</v>
      </c>
    </row>
    <row r="358" spans="1:10" x14ac:dyDescent="0.25">
      <c r="A358" s="136" t="s">
        <v>23</v>
      </c>
      <c r="B358" s="137"/>
      <c r="C358" s="138"/>
      <c r="D358" s="10">
        <v>36</v>
      </c>
      <c r="E358" s="10" t="s">
        <v>80</v>
      </c>
      <c r="F358" s="13">
        <v>2.2000000000000002</v>
      </c>
      <c r="G358" s="13">
        <v>0.43</v>
      </c>
      <c r="H358" s="13">
        <v>14.36</v>
      </c>
      <c r="I358" s="11">
        <v>70</v>
      </c>
      <c r="J358" s="25">
        <v>0</v>
      </c>
    </row>
    <row r="359" spans="1:10" x14ac:dyDescent="0.25">
      <c r="A359" s="249" t="s">
        <v>13</v>
      </c>
      <c r="B359" s="250"/>
      <c r="C359" s="251"/>
      <c r="D359" s="10">
        <v>15</v>
      </c>
      <c r="E359" s="10" t="s">
        <v>81</v>
      </c>
      <c r="F359" s="13">
        <v>1.1399999999999999</v>
      </c>
      <c r="G359" s="13">
        <v>0.12</v>
      </c>
      <c r="H359" s="13">
        <v>7.38</v>
      </c>
      <c r="I359" s="11">
        <v>35.159999999999997</v>
      </c>
      <c r="J359" s="25">
        <v>0</v>
      </c>
    </row>
    <row r="360" spans="1:10" x14ac:dyDescent="0.25">
      <c r="A360" s="237" t="s">
        <v>12</v>
      </c>
      <c r="B360" s="238"/>
      <c r="C360" s="239"/>
      <c r="D360" s="29">
        <f>SUM(D354:D359)</f>
        <v>686</v>
      </c>
      <c r="E360" s="29"/>
      <c r="F360" s="28">
        <f>SUM(F354:F359)</f>
        <v>21.64</v>
      </c>
      <c r="G360" s="28">
        <f>SUM(G354:G359)</f>
        <v>19.12</v>
      </c>
      <c r="H360" s="28">
        <f>SUM(H354:H359)</f>
        <v>68.47999999999999</v>
      </c>
      <c r="I360" s="28">
        <f>SUM(I354:I359)</f>
        <v>530.69000000000005</v>
      </c>
      <c r="J360" s="25">
        <f>SUM(J354:J359)</f>
        <v>145.67999999999998</v>
      </c>
    </row>
    <row r="361" spans="1:10" x14ac:dyDescent="0.25">
      <c r="A361" s="268" t="s">
        <v>37</v>
      </c>
      <c r="B361" s="268"/>
      <c r="C361" s="268"/>
      <c r="D361" s="268"/>
      <c r="E361" s="268"/>
      <c r="F361" s="268"/>
      <c r="G361" s="268"/>
      <c r="H361" s="268"/>
      <c r="I361" s="268"/>
      <c r="J361" s="25"/>
    </row>
    <row r="362" spans="1:10" x14ac:dyDescent="0.25">
      <c r="A362" s="249" t="s">
        <v>306</v>
      </c>
      <c r="B362" s="250"/>
      <c r="C362" s="251"/>
      <c r="D362" s="33">
        <v>200</v>
      </c>
      <c r="E362" s="24">
        <v>152.16</v>
      </c>
      <c r="F362" s="25">
        <v>9.64</v>
      </c>
      <c r="G362" s="25">
        <v>11.41</v>
      </c>
      <c r="H362" s="25">
        <v>47.48</v>
      </c>
      <c r="I362" s="29">
        <v>336.15</v>
      </c>
      <c r="J362" s="25">
        <v>38.44</v>
      </c>
    </row>
    <row r="363" spans="1:10" x14ac:dyDescent="0.25">
      <c r="A363" s="249" t="s">
        <v>285</v>
      </c>
      <c r="B363" s="250"/>
      <c r="C363" s="251"/>
      <c r="D363" s="10" t="s">
        <v>286</v>
      </c>
      <c r="E363" s="10">
        <v>251</v>
      </c>
      <c r="F363" s="25">
        <v>5.4</v>
      </c>
      <c r="G363" s="25">
        <v>5.96</v>
      </c>
      <c r="H363" s="25">
        <v>7.45</v>
      </c>
      <c r="I363" s="29">
        <v>105.07</v>
      </c>
      <c r="J363" s="25">
        <v>1.3</v>
      </c>
    </row>
    <row r="364" spans="1:10" ht="15" customHeight="1" x14ac:dyDescent="0.25">
      <c r="A364" s="249" t="s">
        <v>13</v>
      </c>
      <c r="B364" s="250"/>
      <c r="C364" s="251"/>
      <c r="D364" s="10">
        <v>15</v>
      </c>
      <c r="E364" s="10" t="s">
        <v>81</v>
      </c>
      <c r="F364" s="13">
        <v>1.1399999999999999</v>
      </c>
      <c r="G364" s="13">
        <v>0.12</v>
      </c>
      <c r="H364" s="13">
        <v>7.38</v>
      </c>
      <c r="I364" s="11">
        <v>35.159999999999997</v>
      </c>
      <c r="J364" s="25">
        <v>0</v>
      </c>
    </row>
    <row r="365" spans="1:10" ht="27.75" customHeight="1" x14ac:dyDescent="0.25">
      <c r="A365" s="237" t="s">
        <v>12</v>
      </c>
      <c r="B365" s="238"/>
      <c r="C365" s="239"/>
      <c r="D365" s="24">
        <v>400</v>
      </c>
      <c r="E365" s="24"/>
      <c r="F365" s="25">
        <f>SUM(F362:F364)</f>
        <v>16.18</v>
      </c>
      <c r="G365" s="25">
        <f>SUM(G362:G364)</f>
        <v>17.490000000000002</v>
      </c>
      <c r="H365" s="25">
        <f>SUM(H362:H364)</f>
        <v>62.31</v>
      </c>
      <c r="I365" s="29">
        <f>SUM(I362:I364)</f>
        <v>476.38</v>
      </c>
      <c r="J365" s="25">
        <f>SUM(J362:J364)</f>
        <v>39.739999999999995</v>
      </c>
    </row>
    <row r="366" spans="1:10" ht="42.75" customHeight="1" x14ac:dyDescent="0.25">
      <c r="A366" s="243" t="s">
        <v>14</v>
      </c>
      <c r="B366" s="244"/>
      <c r="C366" s="245"/>
      <c r="D366" s="172"/>
      <c r="E366" s="172"/>
      <c r="F366" s="22">
        <f>F348+F351+F360+F365</f>
        <v>50.43</v>
      </c>
      <c r="G366" s="22">
        <f>G348+G351+G360+G365</f>
        <v>51.07</v>
      </c>
      <c r="H366" s="22">
        <f>H348+H351+H360+H365</f>
        <v>180.16</v>
      </c>
      <c r="I366" s="28">
        <f>I348+I351+I360+I365</f>
        <v>1423.8899999999999</v>
      </c>
      <c r="J366" s="22">
        <f>J348+J351+J360+J365</f>
        <v>194.94</v>
      </c>
    </row>
    <row r="367" spans="1:10" ht="54" customHeight="1" x14ac:dyDescent="0.25">
      <c r="A367" s="269" t="s">
        <v>0</v>
      </c>
      <c r="B367" s="269"/>
      <c r="C367" s="269"/>
      <c r="D367" s="172" t="s">
        <v>1</v>
      </c>
      <c r="E367" s="172" t="s">
        <v>2</v>
      </c>
      <c r="F367" s="22" t="s">
        <v>3</v>
      </c>
      <c r="G367" s="22" t="s">
        <v>4</v>
      </c>
      <c r="H367" s="22" t="s">
        <v>28</v>
      </c>
      <c r="I367" s="158" t="s">
        <v>75</v>
      </c>
      <c r="J367" s="22" t="s">
        <v>76</v>
      </c>
    </row>
    <row r="368" spans="1:10" x14ac:dyDescent="0.25">
      <c r="A368" s="268" t="s">
        <v>220</v>
      </c>
      <c r="B368" s="268"/>
      <c r="C368" s="268"/>
      <c r="D368" s="268"/>
      <c r="E368" s="268"/>
      <c r="F368" s="268"/>
      <c r="G368" s="268"/>
      <c r="H368" s="268"/>
      <c r="I368" s="268"/>
      <c r="J368" s="268"/>
    </row>
    <row r="369" spans="1:10" x14ac:dyDescent="0.25">
      <c r="A369" s="268" t="s">
        <v>18</v>
      </c>
      <c r="B369" s="268"/>
      <c r="C369" s="268"/>
      <c r="D369" s="268"/>
      <c r="E369" s="268"/>
      <c r="F369" s="268"/>
      <c r="G369" s="268"/>
      <c r="H369" s="268"/>
      <c r="I369" s="268"/>
      <c r="J369" s="268"/>
    </row>
    <row r="370" spans="1:10" x14ac:dyDescent="0.25">
      <c r="A370" s="290" t="s">
        <v>9</v>
      </c>
      <c r="B370" s="290"/>
      <c r="C370" s="290"/>
      <c r="D370" s="290"/>
      <c r="E370" s="290"/>
      <c r="F370" s="290"/>
      <c r="G370" s="290"/>
      <c r="H370" s="290"/>
      <c r="I370" s="290"/>
      <c r="J370" s="290"/>
    </row>
    <row r="371" spans="1:10" ht="26.45" customHeight="1" x14ac:dyDescent="0.25">
      <c r="A371" s="307" t="s">
        <v>186</v>
      </c>
      <c r="B371" s="308"/>
      <c r="C371" s="309"/>
      <c r="D371" s="24" t="s">
        <v>266</v>
      </c>
      <c r="E371" s="24">
        <v>98.200500000000005</v>
      </c>
      <c r="F371" s="25">
        <v>3.3740000000000001</v>
      </c>
      <c r="G371" s="25">
        <v>4.38</v>
      </c>
      <c r="H371" s="25">
        <v>22.42</v>
      </c>
      <c r="I371" s="29">
        <v>114.6</v>
      </c>
      <c r="J371" s="25">
        <v>1.04</v>
      </c>
    </row>
    <row r="372" spans="1:10" ht="14.45" customHeight="1" x14ac:dyDescent="0.25">
      <c r="A372" s="252" t="s">
        <v>73</v>
      </c>
      <c r="B372" s="252"/>
      <c r="C372" s="252"/>
      <c r="D372" s="12">
        <v>180</v>
      </c>
      <c r="E372" s="10" t="s">
        <v>199</v>
      </c>
      <c r="F372" s="25">
        <v>0</v>
      </c>
      <c r="G372" s="25">
        <v>0</v>
      </c>
      <c r="H372" s="25">
        <v>10</v>
      </c>
      <c r="I372" s="25">
        <v>40</v>
      </c>
      <c r="J372" s="25">
        <v>0</v>
      </c>
    </row>
    <row r="373" spans="1:10" ht="27.6" customHeight="1" x14ac:dyDescent="0.25">
      <c r="A373" s="298" t="s">
        <v>316</v>
      </c>
      <c r="B373" s="299"/>
      <c r="C373" s="300"/>
      <c r="D373" s="135" t="s">
        <v>260</v>
      </c>
      <c r="E373" s="10" t="s">
        <v>144</v>
      </c>
      <c r="F373" s="13">
        <v>3.51</v>
      </c>
      <c r="G373" s="13">
        <v>6.21</v>
      </c>
      <c r="H373" s="13">
        <v>10.17</v>
      </c>
      <c r="I373" s="11">
        <v>111.5</v>
      </c>
      <c r="J373" s="14">
        <v>0.05</v>
      </c>
    </row>
    <row r="374" spans="1:10" ht="15" customHeight="1" x14ac:dyDescent="0.25">
      <c r="A374" s="243" t="s">
        <v>12</v>
      </c>
      <c r="B374" s="244"/>
      <c r="C374" s="245"/>
      <c r="D374" s="24">
        <f>150+3+D372+20+5+7.5</f>
        <v>365.5</v>
      </c>
      <c r="E374" s="24"/>
      <c r="F374" s="22">
        <f>SUM(F371:F373)</f>
        <v>6.8840000000000003</v>
      </c>
      <c r="G374" s="22">
        <f>SUM(G371:G373)</f>
        <v>10.59</v>
      </c>
      <c r="H374" s="22">
        <f>SUM(H371:H373)</f>
        <v>42.59</v>
      </c>
      <c r="I374" s="28">
        <f>SUM(I371:I373)</f>
        <v>266.10000000000002</v>
      </c>
      <c r="J374" s="25">
        <f>SUM(J371:J373)</f>
        <v>1.0900000000000001</v>
      </c>
    </row>
    <row r="375" spans="1:10" ht="15" customHeight="1" x14ac:dyDescent="0.25">
      <c r="A375" s="269" t="s">
        <v>8</v>
      </c>
      <c r="B375" s="269"/>
      <c r="C375" s="269"/>
      <c r="D375" s="269"/>
      <c r="E375" s="269"/>
      <c r="F375" s="269"/>
      <c r="G375" s="269"/>
      <c r="H375" s="269"/>
      <c r="I375" s="269"/>
      <c r="J375" s="25"/>
    </row>
    <row r="376" spans="1:10" ht="15" customHeight="1" x14ac:dyDescent="0.25">
      <c r="A376" s="249" t="s">
        <v>24</v>
      </c>
      <c r="B376" s="250"/>
      <c r="C376" s="251"/>
      <c r="D376" s="24">
        <v>180</v>
      </c>
      <c r="E376" s="24" t="s">
        <v>245</v>
      </c>
      <c r="F376" s="25">
        <v>0.9</v>
      </c>
      <c r="G376" s="25">
        <v>0.18</v>
      </c>
      <c r="H376" s="25">
        <v>18.18</v>
      </c>
      <c r="I376" s="25">
        <v>77.94</v>
      </c>
      <c r="J376" s="25">
        <v>3.6</v>
      </c>
    </row>
    <row r="377" spans="1:10" ht="15" hidden="1" customHeight="1" x14ac:dyDescent="0.25">
      <c r="A377" s="320" t="s">
        <v>12</v>
      </c>
      <c r="B377" s="321"/>
      <c r="C377" s="322"/>
      <c r="D377" s="24"/>
      <c r="E377" s="24"/>
      <c r="F377" s="22">
        <f>SUM(F376:F376)</f>
        <v>0.9</v>
      </c>
      <c r="G377" s="22">
        <f>SUM(G376:G376)</f>
        <v>0.18</v>
      </c>
      <c r="H377" s="22">
        <f>SUM(H376:H376)</f>
        <v>18.18</v>
      </c>
      <c r="I377" s="28">
        <f>SUM(I376:I376)</f>
        <v>77.94</v>
      </c>
      <c r="J377" s="25">
        <f>SUM(J376:J376)</f>
        <v>3.6</v>
      </c>
    </row>
    <row r="378" spans="1:10" x14ac:dyDescent="0.25">
      <c r="A378" s="243" t="s">
        <v>12</v>
      </c>
      <c r="B378" s="244"/>
      <c r="C378" s="245"/>
      <c r="D378" s="24">
        <f>SUM(D376:D377)</f>
        <v>180</v>
      </c>
      <c r="E378" s="24"/>
      <c r="F378" s="22">
        <f>SUM(F377)</f>
        <v>0.9</v>
      </c>
      <c r="G378" s="22">
        <f>SUM(G377)</f>
        <v>0.18</v>
      </c>
      <c r="H378" s="22">
        <f>SUM(H377)</f>
        <v>18.18</v>
      </c>
      <c r="I378" s="28">
        <f>SUM(I377)</f>
        <v>77.94</v>
      </c>
      <c r="J378" s="22">
        <f>SUM(J377)</f>
        <v>3.6</v>
      </c>
    </row>
    <row r="379" spans="1:10" x14ac:dyDescent="0.25">
      <c r="A379" s="268" t="s">
        <v>11</v>
      </c>
      <c r="B379" s="268"/>
      <c r="C379" s="268"/>
      <c r="D379" s="268"/>
      <c r="E379" s="268"/>
      <c r="F379" s="268"/>
      <c r="G379" s="268"/>
      <c r="H379" s="268"/>
      <c r="I379" s="268"/>
      <c r="J379" s="25"/>
    </row>
    <row r="380" spans="1:10" ht="24.75" customHeight="1" x14ac:dyDescent="0.25">
      <c r="A380" s="301" t="s">
        <v>362</v>
      </c>
      <c r="B380" s="302"/>
      <c r="C380" s="303"/>
      <c r="D380" s="33">
        <v>45</v>
      </c>
      <c r="E380" s="33">
        <v>10.2005</v>
      </c>
      <c r="F380" s="176">
        <v>0.42</v>
      </c>
      <c r="G380" s="176">
        <v>3.18</v>
      </c>
      <c r="H380" s="176">
        <v>6.78</v>
      </c>
      <c r="I380" s="176">
        <v>57.33</v>
      </c>
      <c r="J380" s="25">
        <v>2.57</v>
      </c>
    </row>
    <row r="381" spans="1:10" ht="30.6" customHeight="1" x14ac:dyDescent="0.25">
      <c r="A381" s="323" t="s">
        <v>366</v>
      </c>
      <c r="B381" s="323"/>
      <c r="C381" s="323"/>
      <c r="D381" s="26" t="s">
        <v>169</v>
      </c>
      <c r="E381" s="24">
        <v>27.200500000000002</v>
      </c>
      <c r="F381" s="25">
        <f>1.52+1.88</f>
        <v>3.4</v>
      </c>
      <c r="G381" s="25">
        <f>4.75+1.76</f>
        <v>6.51</v>
      </c>
      <c r="H381" s="25">
        <f>8.08+0.08</f>
        <v>8.16</v>
      </c>
      <c r="I381" s="29">
        <f>79.08+23.72</f>
        <v>102.8</v>
      </c>
      <c r="J381" s="25">
        <v>13.9</v>
      </c>
    </row>
    <row r="382" spans="1:10" ht="24" customHeight="1" x14ac:dyDescent="0.25">
      <c r="A382" s="329" t="s">
        <v>377</v>
      </c>
      <c r="B382" s="330"/>
      <c r="C382" s="331"/>
      <c r="D382" s="10">
        <v>60</v>
      </c>
      <c r="E382" s="10">
        <v>275.16000000000003</v>
      </c>
      <c r="F382" s="13">
        <v>12.1</v>
      </c>
      <c r="G382" s="13">
        <v>1.47</v>
      </c>
      <c r="H382" s="13">
        <v>3.73</v>
      </c>
      <c r="I382" s="11">
        <v>76.59</v>
      </c>
      <c r="J382" s="10">
        <v>3.36</v>
      </c>
    </row>
    <row r="383" spans="1:10" x14ac:dyDescent="0.25">
      <c r="A383" s="249" t="s">
        <v>16</v>
      </c>
      <c r="B383" s="250"/>
      <c r="C383" s="251"/>
      <c r="D383" s="10">
        <v>150</v>
      </c>
      <c r="E383" s="10">
        <v>206.20050000000001</v>
      </c>
      <c r="F383" s="29">
        <v>3.22</v>
      </c>
      <c r="G383" s="29">
        <v>3.62</v>
      </c>
      <c r="H383" s="29">
        <v>21.69</v>
      </c>
      <c r="I383" s="29">
        <v>132.32</v>
      </c>
      <c r="J383" s="25">
        <v>25.5</v>
      </c>
    </row>
    <row r="384" spans="1:10" ht="15" customHeight="1" x14ac:dyDescent="0.25">
      <c r="A384" s="295" t="s">
        <v>323</v>
      </c>
      <c r="B384" s="296"/>
      <c r="C384" s="297"/>
      <c r="D384" s="24">
        <v>150</v>
      </c>
      <c r="E384" s="24">
        <v>394.16</v>
      </c>
      <c r="F384" s="25">
        <v>0.52</v>
      </c>
      <c r="G384" s="25">
        <v>0.03</v>
      </c>
      <c r="H384" s="25">
        <v>15.08</v>
      </c>
      <c r="I384" s="29">
        <v>62.67</v>
      </c>
      <c r="J384" s="25">
        <v>0.4</v>
      </c>
    </row>
    <row r="385" spans="1:10" x14ac:dyDescent="0.25">
      <c r="A385" s="136" t="s">
        <v>23</v>
      </c>
      <c r="B385" s="137"/>
      <c r="C385" s="138"/>
      <c r="D385" s="10">
        <v>36</v>
      </c>
      <c r="E385" s="10" t="s">
        <v>80</v>
      </c>
      <c r="F385" s="13">
        <v>2.2000000000000002</v>
      </c>
      <c r="G385" s="13">
        <v>0.43</v>
      </c>
      <c r="H385" s="13">
        <v>14.36</v>
      </c>
      <c r="I385" s="11">
        <v>70</v>
      </c>
      <c r="J385" s="25">
        <v>0</v>
      </c>
    </row>
    <row r="386" spans="1:10" ht="15" customHeight="1" x14ac:dyDescent="0.25">
      <c r="A386" s="249" t="s">
        <v>13</v>
      </c>
      <c r="B386" s="250"/>
      <c r="C386" s="251"/>
      <c r="D386" s="24">
        <v>20</v>
      </c>
      <c r="E386" s="24" t="s">
        <v>79</v>
      </c>
      <c r="F386" s="25">
        <v>1.52</v>
      </c>
      <c r="G386" s="25">
        <v>0.16</v>
      </c>
      <c r="H386" s="25">
        <v>9.84</v>
      </c>
      <c r="I386" s="29">
        <v>46.88</v>
      </c>
      <c r="J386" s="25">
        <v>0</v>
      </c>
    </row>
    <row r="387" spans="1:10" x14ac:dyDescent="0.25">
      <c r="A387" s="243" t="s">
        <v>12</v>
      </c>
      <c r="B387" s="244"/>
      <c r="C387" s="245"/>
      <c r="D387" s="24">
        <f>D386+D385+D384+D383+D382+220</f>
        <v>636</v>
      </c>
      <c r="E387" s="24"/>
      <c r="F387" s="22">
        <f>SUM(F381:F386)</f>
        <v>22.959999999999997</v>
      </c>
      <c r="G387" s="22">
        <f>SUM(G381:G386)</f>
        <v>12.219999999999999</v>
      </c>
      <c r="H387" s="22">
        <f>SUM(H381:H386)</f>
        <v>72.86</v>
      </c>
      <c r="I387" s="22">
        <f>SUM(I381:I386)</f>
        <v>491.26</v>
      </c>
      <c r="J387" s="22">
        <f>SUM(J381:J386)</f>
        <v>43.160000000000004</v>
      </c>
    </row>
    <row r="388" spans="1:10" x14ac:dyDescent="0.25">
      <c r="A388" s="268" t="s">
        <v>37</v>
      </c>
      <c r="B388" s="268"/>
      <c r="C388" s="268"/>
      <c r="D388" s="268"/>
      <c r="E388" s="268"/>
      <c r="F388" s="268"/>
      <c r="G388" s="268"/>
      <c r="H388" s="268"/>
      <c r="I388" s="268"/>
      <c r="J388" s="25"/>
    </row>
    <row r="389" spans="1:10" ht="25.5" customHeight="1" x14ac:dyDescent="0.25">
      <c r="A389" s="280" t="s">
        <v>27</v>
      </c>
      <c r="B389" s="280"/>
      <c r="C389" s="280"/>
      <c r="D389" s="10">
        <v>180</v>
      </c>
      <c r="E389" s="10" t="s">
        <v>30</v>
      </c>
      <c r="F389" s="11">
        <v>5.24</v>
      </c>
      <c r="G389" s="11">
        <v>4.6500000000000004</v>
      </c>
      <c r="H389" s="11">
        <v>18.02</v>
      </c>
      <c r="I389" s="11">
        <v>135.76</v>
      </c>
      <c r="J389" s="25">
        <v>1.64</v>
      </c>
    </row>
    <row r="390" spans="1:10" x14ac:dyDescent="0.25">
      <c r="A390" s="15" t="s">
        <v>68</v>
      </c>
      <c r="B390" s="15"/>
      <c r="C390" s="15"/>
      <c r="D390" s="24">
        <v>70</v>
      </c>
      <c r="E390" s="24" t="s">
        <v>307</v>
      </c>
      <c r="F390" s="25">
        <v>10.52</v>
      </c>
      <c r="G390" s="25">
        <v>4.8499999999999996</v>
      </c>
      <c r="H390" s="25">
        <v>32.9</v>
      </c>
      <c r="I390" s="25">
        <v>217.2</v>
      </c>
      <c r="J390" s="25">
        <v>0.14000000000000001</v>
      </c>
    </row>
    <row r="391" spans="1:10" x14ac:dyDescent="0.25">
      <c r="A391" s="298" t="s">
        <v>217</v>
      </c>
      <c r="B391" s="299"/>
      <c r="C391" s="300"/>
      <c r="D391" s="10">
        <v>150</v>
      </c>
      <c r="E391" s="10">
        <v>233.20050000000001</v>
      </c>
      <c r="F391" s="11">
        <v>0.08</v>
      </c>
      <c r="G391" s="11">
        <v>1.4999999999999999E-2</v>
      </c>
      <c r="H391" s="11">
        <v>8.7100000000000009</v>
      </c>
      <c r="I391" s="11">
        <v>35.61</v>
      </c>
      <c r="J391" s="10">
        <v>1.24</v>
      </c>
    </row>
    <row r="392" spans="1:10" x14ac:dyDescent="0.25">
      <c r="A392" s="249" t="s">
        <v>13</v>
      </c>
      <c r="B392" s="250"/>
      <c r="C392" s="251"/>
      <c r="D392" s="10">
        <v>15</v>
      </c>
      <c r="E392" s="10" t="s">
        <v>81</v>
      </c>
      <c r="F392" s="13">
        <v>1.1399999999999999</v>
      </c>
      <c r="G392" s="13">
        <v>0.12</v>
      </c>
      <c r="H392" s="13">
        <v>7.38</v>
      </c>
      <c r="I392" s="11">
        <v>35.159999999999997</v>
      </c>
      <c r="J392" s="25">
        <v>0</v>
      </c>
    </row>
    <row r="393" spans="1:10" x14ac:dyDescent="0.25">
      <c r="A393" s="243" t="s">
        <v>12</v>
      </c>
      <c r="B393" s="244"/>
      <c r="C393" s="245"/>
      <c r="D393" s="172">
        <f>SUM(D389:D392)</f>
        <v>415</v>
      </c>
      <c r="E393" s="172"/>
      <c r="F393" s="22">
        <f>SUM(F389:F392)</f>
        <v>16.98</v>
      </c>
      <c r="G393" s="22">
        <f t="shared" ref="G393:J393" si="25">SUM(G389:G392)</f>
        <v>9.6349999999999998</v>
      </c>
      <c r="H393" s="22">
        <f t="shared" si="25"/>
        <v>67.010000000000005</v>
      </c>
      <c r="I393" s="28">
        <f>SUM(I389:I392)</f>
        <v>423.73</v>
      </c>
      <c r="J393" s="22">
        <f t="shared" si="25"/>
        <v>3.0199999999999996</v>
      </c>
    </row>
    <row r="394" spans="1:10" ht="24.75" customHeight="1" x14ac:dyDescent="0.25">
      <c r="A394" s="243" t="s">
        <v>14</v>
      </c>
      <c r="B394" s="244"/>
      <c r="C394" s="245"/>
      <c r="D394" s="172"/>
      <c r="E394" s="172"/>
      <c r="F394" s="22">
        <f>F374+F377+F387+F393</f>
        <v>47.724000000000004</v>
      </c>
      <c r="G394" s="22">
        <f>G374+G377+G387+G393</f>
        <v>32.625</v>
      </c>
      <c r="H394" s="22">
        <f>H374+H377+H387+H393</f>
        <v>200.64</v>
      </c>
      <c r="I394" s="28">
        <f>I374+I377+I387+I393</f>
        <v>1259.03</v>
      </c>
      <c r="J394" s="22">
        <f>J374+J377+J387+J393</f>
        <v>50.870000000000005</v>
      </c>
    </row>
    <row r="395" spans="1:10" ht="17.25" customHeight="1" x14ac:dyDescent="0.25"/>
    <row r="396" spans="1:10" ht="32.450000000000003" customHeight="1" x14ac:dyDescent="0.25">
      <c r="A396" s="317" t="s">
        <v>0</v>
      </c>
      <c r="B396" s="318"/>
      <c r="C396" s="319"/>
      <c r="D396" s="172" t="s">
        <v>1</v>
      </c>
      <c r="E396" s="172" t="s">
        <v>2</v>
      </c>
      <c r="F396" s="22" t="s">
        <v>3</v>
      </c>
      <c r="G396" s="22" t="s">
        <v>4</v>
      </c>
      <c r="H396" s="22" t="s">
        <v>28</v>
      </c>
      <c r="I396" s="158" t="s">
        <v>75</v>
      </c>
      <c r="J396" s="22" t="s">
        <v>76</v>
      </c>
    </row>
    <row r="397" spans="1:10" ht="15" customHeight="1" x14ac:dyDescent="0.25">
      <c r="A397" s="314" t="s">
        <v>220</v>
      </c>
      <c r="B397" s="315"/>
      <c r="C397" s="315"/>
      <c r="D397" s="315"/>
      <c r="E397" s="315"/>
      <c r="F397" s="315"/>
      <c r="G397" s="315"/>
      <c r="H397" s="315"/>
      <c r="I397" s="315"/>
      <c r="J397" s="316"/>
    </row>
    <row r="398" spans="1:10" x14ac:dyDescent="0.25">
      <c r="A398" s="314" t="s">
        <v>20</v>
      </c>
      <c r="B398" s="315"/>
      <c r="C398" s="315"/>
      <c r="D398" s="315"/>
      <c r="E398" s="315"/>
      <c r="F398" s="315"/>
      <c r="G398" s="315"/>
      <c r="H398" s="315"/>
      <c r="I398" s="315"/>
      <c r="J398" s="316"/>
    </row>
    <row r="399" spans="1:10" x14ac:dyDescent="0.25">
      <c r="A399" s="314" t="s">
        <v>9</v>
      </c>
      <c r="B399" s="315"/>
      <c r="C399" s="315"/>
      <c r="D399" s="315"/>
      <c r="E399" s="315"/>
      <c r="F399" s="315"/>
      <c r="G399" s="315"/>
      <c r="H399" s="315"/>
      <c r="I399" s="316"/>
      <c r="J399" s="25"/>
    </row>
    <row r="400" spans="1:10" x14ac:dyDescent="0.25">
      <c r="A400" s="294" t="s">
        <v>315</v>
      </c>
      <c r="B400" s="294"/>
      <c r="C400" s="294"/>
      <c r="D400" s="135" t="s">
        <v>344</v>
      </c>
      <c r="E400" s="10" t="s">
        <v>143</v>
      </c>
      <c r="F400" s="13">
        <v>1.53</v>
      </c>
      <c r="G400" s="13">
        <v>3.48</v>
      </c>
      <c r="H400" s="13">
        <v>1.1499999999999999</v>
      </c>
      <c r="I400" s="11">
        <v>79.040000000000006</v>
      </c>
      <c r="J400" s="25">
        <v>0</v>
      </c>
    </row>
    <row r="401" spans="1:10" ht="27.6" customHeight="1" x14ac:dyDescent="0.25">
      <c r="A401" s="270" t="s">
        <v>187</v>
      </c>
      <c r="B401" s="270"/>
      <c r="C401" s="270"/>
      <c r="D401" s="24" t="s">
        <v>266</v>
      </c>
      <c r="E401" s="24">
        <v>99.200500000000005</v>
      </c>
      <c r="F401" s="29">
        <v>4.0999999999999996</v>
      </c>
      <c r="G401" s="29">
        <v>4.3099999999999996</v>
      </c>
      <c r="H401" s="29">
        <v>19.809999999999999</v>
      </c>
      <c r="I401" s="29">
        <v>134.83000000000001</v>
      </c>
      <c r="J401" s="25">
        <v>0.98</v>
      </c>
    </row>
    <row r="402" spans="1:10" x14ac:dyDescent="0.25">
      <c r="A402" s="249" t="s">
        <v>151</v>
      </c>
      <c r="B402" s="250"/>
      <c r="C402" s="251"/>
      <c r="D402" s="24">
        <v>180</v>
      </c>
      <c r="E402" s="24" t="s">
        <v>248</v>
      </c>
      <c r="F402" s="13">
        <v>5.22</v>
      </c>
      <c r="G402" s="13">
        <v>4.5</v>
      </c>
      <c r="H402" s="13">
        <v>21.14</v>
      </c>
      <c r="I402" s="13">
        <v>147.19</v>
      </c>
      <c r="J402" s="14">
        <v>2.34</v>
      </c>
    </row>
    <row r="403" spans="1:10" x14ac:dyDescent="0.25">
      <c r="A403" s="243" t="s">
        <v>12</v>
      </c>
      <c r="B403" s="244"/>
      <c r="C403" s="245"/>
      <c r="D403" s="24">
        <f>24+153+D402</f>
        <v>357</v>
      </c>
      <c r="E403" s="24"/>
      <c r="F403" s="22">
        <f>SUM(F400:F402)</f>
        <v>10.85</v>
      </c>
      <c r="G403" s="22">
        <f>SUM(G400:G402)</f>
        <v>12.29</v>
      </c>
      <c r="H403" s="22">
        <f>SUM(H400:H402)</f>
        <v>42.099999999999994</v>
      </c>
      <c r="I403" s="28">
        <f>SUM(I400:I402)</f>
        <v>361.06</v>
      </c>
      <c r="J403" s="25">
        <f>SUM(J400:J402)</f>
        <v>3.32</v>
      </c>
    </row>
    <row r="404" spans="1:10" x14ac:dyDescent="0.25">
      <c r="A404" s="314" t="s">
        <v>8</v>
      </c>
      <c r="B404" s="315"/>
      <c r="C404" s="315"/>
      <c r="D404" s="315"/>
      <c r="E404" s="315"/>
      <c r="F404" s="315"/>
      <c r="G404" s="315"/>
      <c r="H404" s="315"/>
      <c r="I404" s="316"/>
      <c r="J404" s="25"/>
    </row>
    <row r="405" spans="1:10" ht="15" customHeight="1" x14ac:dyDescent="0.25">
      <c r="A405" s="249" t="s">
        <v>273</v>
      </c>
      <c r="B405" s="250"/>
      <c r="C405" s="251"/>
      <c r="D405" s="24">
        <v>110</v>
      </c>
      <c r="E405" s="24" t="s">
        <v>77</v>
      </c>
      <c r="F405" s="25">
        <v>0.44</v>
      </c>
      <c r="G405" s="25">
        <v>0.44</v>
      </c>
      <c r="H405" s="25">
        <v>10.78</v>
      </c>
      <c r="I405" s="25">
        <v>48.84</v>
      </c>
      <c r="J405" s="25">
        <v>11</v>
      </c>
    </row>
    <row r="406" spans="1:10" x14ac:dyDescent="0.25">
      <c r="A406" s="243" t="s">
        <v>12</v>
      </c>
      <c r="B406" s="244"/>
      <c r="C406" s="245"/>
      <c r="D406" s="24">
        <f>SUM(D405)</f>
        <v>110</v>
      </c>
      <c r="E406" s="24"/>
      <c r="F406" s="22">
        <f>SUM(F405:F405)</f>
        <v>0.44</v>
      </c>
      <c r="G406" s="22">
        <f>SUM(G405:G405)</f>
        <v>0.44</v>
      </c>
      <c r="H406" s="22">
        <f>SUM(H405:H405)</f>
        <v>10.78</v>
      </c>
      <c r="I406" s="28">
        <f>SUM(I405:I405)</f>
        <v>48.84</v>
      </c>
      <c r="J406" s="22">
        <f>SUM(J405:J405)</f>
        <v>11</v>
      </c>
    </row>
    <row r="407" spans="1:10" x14ac:dyDescent="0.25">
      <c r="A407" s="314" t="s">
        <v>11</v>
      </c>
      <c r="B407" s="315"/>
      <c r="C407" s="315"/>
      <c r="D407" s="315"/>
      <c r="E407" s="315"/>
      <c r="F407" s="315"/>
      <c r="G407" s="315"/>
      <c r="H407" s="315"/>
      <c r="I407" s="316"/>
      <c r="J407" s="25"/>
    </row>
    <row r="408" spans="1:10" ht="15" customHeight="1" x14ac:dyDescent="0.25">
      <c r="A408" s="249" t="s">
        <v>337</v>
      </c>
      <c r="B408" s="250"/>
      <c r="C408" s="251"/>
      <c r="D408" s="24">
        <v>45</v>
      </c>
      <c r="E408" s="33">
        <v>19.200500000000002</v>
      </c>
      <c r="F408" s="10">
        <v>0.63</v>
      </c>
      <c r="G408" s="10">
        <v>3.05</v>
      </c>
      <c r="H408" s="10">
        <v>3.54</v>
      </c>
      <c r="I408" s="14">
        <v>44</v>
      </c>
      <c r="J408" s="10">
        <v>3.59</v>
      </c>
    </row>
    <row r="409" spans="1:10" ht="28.15" customHeight="1" x14ac:dyDescent="0.25">
      <c r="A409" s="307" t="s">
        <v>227</v>
      </c>
      <c r="B409" s="308"/>
      <c r="C409" s="309"/>
      <c r="D409" s="10">
        <v>200</v>
      </c>
      <c r="E409" s="10">
        <v>36.200499999999998</v>
      </c>
      <c r="F409" s="13">
        <v>4.72</v>
      </c>
      <c r="G409" s="13">
        <v>3.35</v>
      </c>
      <c r="H409" s="13">
        <v>15.48</v>
      </c>
      <c r="I409" s="11">
        <v>110.89</v>
      </c>
      <c r="J409" s="10">
        <v>9.1999999999999993</v>
      </c>
    </row>
    <row r="410" spans="1:10" x14ac:dyDescent="0.25">
      <c r="A410" s="249" t="s">
        <v>228</v>
      </c>
      <c r="B410" s="250"/>
      <c r="C410" s="251"/>
      <c r="D410" s="24">
        <v>150</v>
      </c>
      <c r="E410" s="24" t="s">
        <v>189</v>
      </c>
      <c r="F410" s="13">
        <v>13.41</v>
      </c>
      <c r="G410" s="13">
        <v>16.600000000000001</v>
      </c>
      <c r="H410" s="13">
        <v>29.38</v>
      </c>
      <c r="I410" s="11">
        <v>318.45999999999998</v>
      </c>
      <c r="J410" s="25">
        <v>3.12</v>
      </c>
    </row>
    <row r="411" spans="1:10" ht="15" customHeight="1" x14ac:dyDescent="0.25">
      <c r="A411" s="15" t="s">
        <v>247</v>
      </c>
      <c r="B411" s="15"/>
      <c r="C411" s="15"/>
      <c r="D411" s="24">
        <v>150</v>
      </c>
      <c r="E411" s="24" t="s">
        <v>234</v>
      </c>
      <c r="F411" s="25">
        <v>0.27</v>
      </c>
      <c r="G411" s="25">
        <v>0.06</v>
      </c>
      <c r="H411" s="25">
        <v>9.99</v>
      </c>
      <c r="I411" s="29">
        <v>70.930000000000007</v>
      </c>
      <c r="J411" s="25">
        <v>0.39</v>
      </c>
    </row>
    <row r="412" spans="1:10" x14ac:dyDescent="0.25">
      <c r="A412" s="136" t="s">
        <v>23</v>
      </c>
      <c r="B412" s="137"/>
      <c r="C412" s="138"/>
      <c r="D412" s="10">
        <v>36</v>
      </c>
      <c r="E412" s="10" t="s">
        <v>80</v>
      </c>
      <c r="F412" s="13">
        <v>2.2000000000000002</v>
      </c>
      <c r="G412" s="13">
        <v>0.43</v>
      </c>
      <c r="H412" s="13">
        <v>14.36</v>
      </c>
      <c r="I412" s="11">
        <v>70</v>
      </c>
      <c r="J412" s="25">
        <v>0</v>
      </c>
    </row>
    <row r="413" spans="1:10" ht="15" customHeight="1" x14ac:dyDescent="0.25">
      <c r="A413" s="249" t="s">
        <v>13</v>
      </c>
      <c r="B413" s="250"/>
      <c r="C413" s="251"/>
      <c r="D413" s="10">
        <v>15</v>
      </c>
      <c r="E413" s="10" t="s">
        <v>81</v>
      </c>
      <c r="F413" s="13">
        <v>1.1399999999999999</v>
      </c>
      <c r="G413" s="13">
        <v>0.12</v>
      </c>
      <c r="H413" s="13">
        <v>7.38</v>
      </c>
      <c r="I413" s="11">
        <v>35.159999999999997</v>
      </c>
      <c r="J413" s="25">
        <v>0</v>
      </c>
    </row>
    <row r="414" spans="1:10" x14ac:dyDescent="0.25">
      <c r="A414" s="173" t="s">
        <v>12</v>
      </c>
      <c r="B414" s="174"/>
      <c r="C414" s="175"/>
      <c r="D414" s="24">
        <f>SUM(D408:D413)</f>
        <v>596</v>
      </c>
      <c r="E414" s="24"/>
      <c r="F414" s="22">
        <f>SUM(F408:F413)</f>
        <v>22.369999999999997</v>
      </c>
      <c r="G414" s="22">
        <f t="shared" ref="G414:J414" si="26">SUM(G408:G413)</f>
        <v>23.61</v>
      </c>
      <c r="H414" s="22">
        <f t="shared" si="26"/>
        <v>80.13</v>
      </c>
      <c r="I414" s="22">
        <f t="shared" si="26"/>
        <v>649.43999999999994</v>
      </c>
      <c r="J414" s="22">
        <f t="shared" si="26"/>
        <v>16.3</v>
      </c>
    </row>
    <row r="415" spans="1:10" x14ac:dyDescent="0.25">
      <c r="A415" s="285" t="s">
        <v>37</v>
      </c>
      <c r="B415" s="286"/>
      <c r="C415" s="286"/>
      <c r="D415" s="286"/>
      <c r="E415" s="286"/>
      <c r="F415" s="286"/>
      <c r="G415" s="286"/>
      <c r="H415" s="286"/>
      <c r="I415" s="286"/>
      <c r="J415" s="287"/>
    </row>
    <row r="416" spans="1:10" ht="15" customHeight="1" x14ac:dyDescent="0.25">
      <c r="A416" s="280" t="s">
        <v>355</v>
      </c>
      <c r="B416" s="280"/>
      <c r="C416" s="280"/>
      <c r="D416" s="24">
        <v>60</v>
      </c>
      <c r="E416" s="24" t="s">
        <v>356</v>
      </c>
      <c r="F416" s="25">
        <v>9.61</v>
      </c>
      <c r="G416" s="25">
        <v>8.39</v>
      </c>
      <c r="H416" s="25">
        <v>10.01</v>
      </c>
      <c r="I416" s="29">
        <v>153.91999999999999</v>
      </c>
      <c r="J416" s="25">
        <v>0.5</v>
      </c>
    </row>
    <row r="417" spans="1:10" ht="15.6" customHeight="1" x14ac:dyDescent="0.25">
      <c r="A417" s="266" t="s">
        <v>19</v>
      </c>
      <c r="B417" s="266"/>
      <c r="C417" s="266"/>
      <c r="D417" s="139">
        <v>130</v>
      </c>
      <c r="E417" s="10">
        <v>200.20050000000001</v>
      </c>
      <c r="F417" s="176">
        <v>2.33</v>
      </c>
      <c r="G417" s="176">
        <v>2.65</v>
      </c>
      <c r="H417" s="176">
        <v>8.3800000000000008</v>
      </c>
      <c r="I417" s="176">
        <v>67.45</v>
      </c>
      <c r="J417" s="14">
        <v>83.4</v>
      </c>
    </row>
    <row r="418" spans="1:10" ht="15" customHeight="1" x14ac:dyDescent="0.25">
      <c r="A418" s="277" t="s">
        <v>116</v>
      </c>
      <c r="B418" s="278"/>
      <c r="C418" s="279"/>
      <c r="D418" s="33">
        <v>70</v>
      </c>
      <c r="E418" s="34">
        <v>778.20039999999995</v>
      </c>
      <c r="F418" s="25">
        <v>4.92</v>
      </c>
      <c r="G418" s="25">
        <v>4.05</v>
      </c>
      <c r="H418" s="25">
        <v>38.909999999999997</v>
      </c>
      <c r="I418" s="29">
        <v>211.65</v>
      </c>
      <c r="J418" s="25">
        <v>0.15</v>
      </c>
    </row>
    <row r="419" spans="1:10" x14ac:dyDescent="0.25">
      <c r="A419" s="249" t="s">
        <v>285</v>
      </c>
      <c r="B419" s="250"/>
      <c r="C419" s="251"/>
      <c r="D419" s="10" t="s">
        <v>266</v>
      </c>
      <c r="E419" s="10">
        <v>251</v>
      </c>
      <c r="F419" s="13">
        <v>4.5199999999999996</v>
      </c>
      <c r="G419" s="13">
        <v>4.99</v>
      </c>
      <c r="H419" s="13">
        <f>6.24+2.99</f>
        <v>9.23</v>
      </c>
      <c r="I419" s="11">
        <f>87.98+11.98</f>
        <v>99.960000000000008</v>
      </c>
      <c r="J419" s="8">
        <v>1.0900000000000001</v>
      </c>
    </row>
    <row r="420" spans="1:10" ht="14.45" customHeight="1" x14ac:dyDescent="0.25">
      <c r="A420" s="249" t="s">
        <v>13</v>
      </c>
      <c r="B420" s="250"/>
      <c r="C420" s="251"/>
      <c r="D420" s="24">
        <v>20</v>
      </c>
      <c r="E420" s="24" t="s">
        <v>79</v>
      </c>
      <c r="F420" s="25">
        <v>1.52</v>
      </c>
      <c r="G420" s="25">
        <v>0.16</v>
      </c>
      <c r="H420" s="25">
        <v>9.84</v>
      </c>
      <c r="I420" s="29">
        <v>46.88</v>
      </c>
      <c r="J420" s="25">
        <v>0</v>
      </c>
    </row>
    <row r="421" spans="1:10" ht="15" customHeight="1" x14ac:dyDescent="0.25">
      <c r="A421" s="237" t="s">
        <v>12</v>
      </c>
      <c r="B421" s="238"/>
      <c r="C421" s="239"/>
      <c r="D421" s="176">
        <f>D420+153+D418+D417+D416</f>
        <v>433</v>
      </c>
      <c r="E421" s="176"/>
      <c r="F421" s="28">
        <f>SUM(F416:F420)</f>
        <v>22.9</v>
      </c>
      <c r="G421" s="28">
        <f t="shared" ref="G421:J421" si="27">SUM(G416:G420)</f>
        <v>20.239999999999998</v>
      </c>
      <c r="H421" s="28">
        <f t="shared" si="27"/>
        <v>76.37</v>
      </c>
      <c r="I421" s="28">
        <f t="shared" si="27"/>
        <v>579.86</v>
      </c>
      <c r="J421" s="28">
        <f t="shared" si="27"/>
        <v>85.140000000000015</v>
      </c>
    </row>
    <row r="422" spans="1:10" ht="13.9" customHeight="1" thickBot="1" x14ac:dyDescent="0.3">
      <c r="A422" s="42" t="s">
        <v>14</v>
      </c>
      <c r="B422" s="43"/>
      <c r="C422" s="43"/>
      <c r="D422" s="44"/>
      <c r="E422" s="45"/>
      <c r="F422" s="46">
        <f>F403+F406+F414+F421</f>
        <v>56.559999999999995</v>
      </c>
      <c r="G422" s="46">
        <f>G403+G406+G414+G421</f>
        <v>56.58</v>
      </c>
      <c r="H422" s="46">
        <f>H403+H406+H414+H421</f>
        <v>209.38</v>
      </c>
      <c r="I422" s="46">
        <f>I403+I406+I414+I421</f>
        <v>1639.1999999999998</v>
      </c>
      <c r="J422" s="46">
        <f>J403+J406+J414+J421</f>
        <v>115.76000000000002</v>
      </c>
    </row>
    <row r="423" spans="1:10" ht="38.25" x14ac:dyDescent="0.25">
      <c r="A423" s="269" t="s">
        <v>0</v>
      </c>
      <c r="B423" s="269"/>
      <c r="C423" s="269"/>
      <c r="D423" s="6" t="s">
        <v>1</v>
      </c>
      <c r="E423" s="6" t="s">
        <v>2</v>
      </c>
      <c r="F423" s="133" t="s">
        <v>3</v>
      </c>
      <c r="G423" s="133" t="s">
        <v>4</v>
      </c>
      <c r="H423" s="133" t="s">
        <v>28</v>
      </c>
      <c r="I423" s="157" t="s">
        <v>75</v>
      </c>
      <c r="J423" s="6" t="s">
        <v>76</v>
      </c>
    </row>
    <row r="424" spans="1:10" x14ac:dyDescent="0.25">
      <c r="A424" s="269" t="s">
        <v>222</v>
      </c>
      <c r="B424" s="269"/>
      <c r="C424" s="269"/>
      <c r="D424" s="269"/>
      <c r="E424" s="269"/>
      <c r="F424" s="269"/>
      <c r="G424" s="269"/>
      <c r="H424" s="269"/>
      <c r="I424" s="269"/>
      <c r="J424" s="269"/>
    </row>
    <row r="425" spans="1:10" x14ac:dyDescent="0.25">
      <c r="A425" s="269" t="s">
        <v>6</v>
      </c>
      <c r="B425" s="269"/>
      <c r="C425" s="269"/>
      <c r="D425" s="269"/>
      <c r="E425" s="269"/>
      <c r="F425" s="269"/>
      <c r="G425" s="269"/>
      <c r="H425" s="269"/>
      <c r="I425" s="269"/>
      <c r="J425" s="269"/>
    </row>
    <row r="426" spans="1:10" x14ac:dyDescent="0.25">
      <c r="A426" s="269" t="s">
        <v>9</v>
      </c>
      <c r="B426" s="269"/>
      <c r="C426" s="269"/>
      <c r="D426" s="269"/>
      <c r="E426" s="269"/>
      <c r="F426" s="269"/>
      <c r="G426" s="269"/>
      <c r="H426" s="269"/>
      <c r="I426" s="269"/>
      <c r="J426" s="6"/>
    </row>
    <row r="427" spans="1:10" x14ac:dyDescent="0.25">
      <c r="A427" s="298" t="s">
        <v>314</v>
      </c>
      <c r="B427" s="299"/>
      <c r="C427" s="300"/>
      <c r="D427" s="135" t="s">
        <v>260</v>
      </c>
      <c r="E427" s="10" t="s">
        <v>144</v>
      </c>
      <c r="F427" s="13">
        <v>3.51</v>
      </c>
      <c r="G427" s="13">
        <v>6.21</v>
      </c>
      <c r="H427" s="13">
        <v>10.17</v>
      </c>
      <c r="I427" s="11">
        <v>111.5</v>
      </c>
      <c r="J427" s="14">
        <v>0.05</v>
      </c>
    </row>
    <row r="428" spans="1:10" ht="14.45" customHeight="1" x14ac:dyDescent="0.25">
      <c r="A428" s="280" t="s">
        <v>27</v>
      </c>
      <c r="B428" s="280"/>
      <c r="C428" s="280"/>
      <c r="D428" s="10">
        <v>180</v>
      </c>
      <c r="E428" s="10" t="s">
        <v>30</v>
      </c>
      <c r="F428" s="11">
        <v>5.24</v>
      </c>
      <c r="G428" s="11">
        <v>4.6500000000000004</v>
      </c>
      <c r="H428" s="11">
        <v>18.02</v>
      </c>
      <c r="I428" s="11">
        <v>135.76</v>
      </c>
      <c r="J428" s="25">
        <v>1.64</v>
      </c>
    </row>
    <row r="429" spans="1:10" ht="15" customHeight="1" x14ac:dyDescent="0.25">
      <c r="A429" s="252" t="s">
        <v>73</v>
      </c>
      <c r="B429" s="252"/>
      <c r="C429" s="252"/>
      <c r="D429" s="12">
        <v>180</v>
      </c>
      <c r="E429" s="10" t="s">
        <v>199</v>
      </c>
      <c r="F429" s="25">
        <v>0</v>
      </c>
      <c r="G429" s="25">
        <v>0</v>
      </c>
      <c r="H429" s="25">
        <v>10</v>
      </c>
      <c r="I429" s="25">
        <v>40</v>
      </c>
      <c r="J429" s="25">
        <v>0</v>
      </c>
    </row>
    <row r="430" spans="1:10" x14ac:dyDescent="0.25">
      <c r="A430" s="243" t="s">
        <v>12</v>
      </c>
      <c r="B430" s="244"/>
      <c r="C430" s="245"/>
      <c r="D430" s="10">
        <f>D428+D429+25+7.5</f>
        <v>392.5</v>
      </c>
      <c r="E430" s="10"/>
      <c r="F430" s="133">
        <f>SUM(F427:F429)</f>
        <v>8.75</v>
      </c>
      <c r="G430" s="133">
        <f t="shared" ref="G430:J430" si="28">SUM(G427:G429)</f>
        <v>10.86</v>
      </c>
      <c r="H430" s="133">
        <f t="shared" si="28"/>
        <v>38.19</v>
      </c>
      <c r="I430" s="133">
        <f t="shared" si="28"/>
        <v>287.26</v>
      </c>
      <c r="J430" s="133">
        <f t="shared" si="28"/>
        <v>1.69</v>
      </c>
    </row>
    <row r="431" spans="1:10" x14ac:dyDescent="0.25">
      <c r="A431" s="269" t="s">
        <v>8</v>
      </c>
      <c r="B431" s="269"/>
      <c r="C431" s="269"/>
      <c r="D431" s="269"/>
      <c r="E431" s="269"/>
      <c r="F431" s="269"/>
      <c r="G431" s="269"/>
      <c r="H431" s="269"/>
      <c r="I431" s="269"/>
      <c r="J431" s="6"/>
    </row>
    <row r="432" spans="1:10" x14ac:dyDescent="0.25">
      <c r="A432" s="249" t="s">
        <v>273</v>
      </c>
      <c r="B432" s="250"/>
      <c r="C432" s="251"/>
      <c r="D432" s="24">
        <v>100</v>
      </c>
      <c r="E432" s="24"/>
      <c r="F432" s="25">
        <v>0.4</v>
      </c>
      <c r="G432" s="25">
        <v>0.4</v>
      </c>
      <c r="H432" s="25">
        <v>9.8000000000000007</v>
      </c>
      <c r="I432" s="25">
        <v>44.4</v>
      </c>
      <c r="J432" s="25">
        <v>10</v>
      </c>
    </row>
    <row r="433" spans="1:10" x14ac:dyDescent="0.25">
      <c r="A433" s="243" t="s">
        <v>12</v>
      </c>
      <c r="B433" s="244"/>
      <c r="C433" s="245"/>
      <c r="D433" s="10">
        <f>SUM(D432:D432)</f>
        <v>100</v>
      </c>
      <c r="E433" s="10"/>
      <c r="F433" s="133">
        <f>SUM(F432:F432)</f>
        <v>0.4</v>
      </c>
      <c r="G433" s="133">
        <f>SUM(G432:G432)</f>
        <v>0.4</v>
      </c>
      <c r="H433" s="133">
        <f>SUM(H432:H432)</f>
        <v>9.8000000000000007</v>
      </c>
      <c r="I433" s="133">
        <f>SUM(I432:I432)</f>
        <v>44.4</v>
      </c>
      <c r="J433" s="133">
        <f>SUM(J432:J432)</f>
        <v>10</v>
      </c>
    </row>
    <row r="434" spans="1:10" x14ac:dyDescent="0.25">
      <c r="A434" s="269" t="s">
        <v>11</v>
      </c>
      <c r="B434" s="269"/>
      <c r="C434" s="269"/>
      <c r="D434" s="269"/>
      <c r="E434" s="269"/>
      <c r="F434" s="269"/>
      <c r="G434" s="269"/>
      <c r="H434" s="269"/>
      <c r="I434" s="269"/>
      <c r="J434" s="6"/>
    </row>
    <row r="435" spans="1:10" ht="33" customHeight="1" x14ac:dyDescent="0.25">
      <c r="A435" s="298" t="s">
        <v>357</v>
      </c>
      <c r="B435" s="299"/>
      <c r="C435" s="300"/>
      <c r="D435" s="24">
        <v>45</v>
      </c>
      <c r="E435" s="24">
        <v>14.2005</v>
      </c>
      <c r="F435" s="24">
        <v>0.45</v>
      </c>
      <c r="G435" s="24">
        <v>0.45</v>
      </c>
      <c r="H435" s="24">
        <v>1.87</v>
      </c>
      <c r="I435" s="24">
        <v>50</v>
      </c>
      <c r="J435" s="10">
        <v>12.7</v>
      </c>
    </row>
    <row r="436" spans="1:10" ht="14.45" customHeight="1" x14ac:dyDescent="0.25">
      <c r="A436" s="304" t="s">
        <v>251</v>
      </c>
      <c r="B436" s="304"/>
      <c r="C436" s="304"/>
      <c r="D436" s="8">
        <v>45</v>
      </c>
      <c r="E436" s="8" t="s">
        <v>166</v>
      </c>
      <c r="F436" s="9">
        <v>0.76</v>
      </c>
      <c r="G436" s="9">
        <v>0.05</v>
      </c>
      <c r="H436" s="9">
        <v>4.4400000000000004</v>
      </c>
      <c r="I436" s="9">
        <v>21.22</v>
      </c>
      <c r="J436" s="14">
        <v>5.04</v>
      </c>
    </row>
    <row r="437" spans="1:10" ht="30" customHeight="1" x14ac:dyDescent="0.25">
      <c r="A437" s="298" t="s">
        <v>367</v>
      </c>
      <c r="B437" s="299"/>
      <c r="C437" s="300"/>
      <c r="D437" s="12" t="s">
        <v>169</v>
      </c>
      <c r="E437" s="10">
        <v>56.200499999999998</v>
      </c>
      <c r="F437" s="13">
        <v>5.63</v>
      </c>
      <c r="G437" s="13">
        <v>10.26</v>
      </c>
      <c r="H437" s="13">
        <v>8.26</v>
      </c>
      <c r="I437" s="11">
        <v>148.29</v>
      </c>
      <c r="J437" s="25">
        <v>40</v>
      </c>
    </row>
    <row r="438" spans="1:10" ht="15" customHeight="1" x14ac:dyDescent="0.25">
      <c r="A438" s="249" t="s">
        <v>308</v>
      </c>
      <c r="B438" s="250"/>
      <c r="C438" s="251"/>
      <c r="D438" s="48">
        <v>155</v>
      </c>
      <c r="E438" s="24">
        <v>311.16000000000003</v>
      </c>
      <c r="F438" s="13">
        <v>20</v>
      </c>
      <c r="G438" s="13">
        <v>12.53</v>
      </c>
      <c r="H438" s="13">
        <v>22.3</v>
      </c>
      <c r="I438" s="11">
        <v>281.79000000000002</v>
      </c>
      <c r="J438" s="25">
        <v>34.82</v>
      </c>
    </row>
    <row r="439" spans="1:10" x14ac:dyDescent="0.25">
      <c r="A439" s="249" t="s">
        <v>58</v>
      </c>
      <c r="B439" s="250"/>
      <c r="C439" s="251"/>
      <c r="D439" s="24">
        <v>150</v>
      </c>
      <c r="E439" s="24" t="s">
        <v>268</v>
      </c>
      <c r="F439" s="25">
        <v>0.12</v>
      </c>
      <c r="G439" s="25">
        <v>0.12</v>
      </c>
      <c r="H439" s="25">
        <v>12.92</v>
      </c>
      <c r="I439" s="29">
        <v>53.24</v>
      </c>
      <c r="J439" s="25">
        <v>3</v>
      </c>
    </row>
    <row r="440" spans="1:10" x14ac:dyDescent="0.25">
      <c r="A440" s="136" t="s">
        <v>23</v>
      </c>
      <c r="B440" s="137"/>
      <c r="C440" s="138"/>
      <c r="D440" s="10">
        <v>36</v>
      </c>
      <c r="E440" s="10" t="s">
        <v>80</v>
      </c>
      <c r="F440" s="13">
        <v>2.2000000000000002</v>
      </c>
      <c r="G440" s="13">
        <v>0.43</v>
      </c>
      <c r="H440" s="13">
        <v>14.36</v>
      </c>
      <c r="I440" s="11">
        <v>70</v>
      </c>
      <c r="J440" s="25">
        <v>0</v>
      </c>
    </row>
    <row r="441" spans="1:10" x14ac:dyDescent="0.25">
      <c r="A441" s="249" t="s">
        <v>13</v>
      </c>
      <c r="B441" s="250"/>
      <c r="C441" s="251"/>
      <c r="D441" s="10">
        <v>15</v>
      </c>
      <c r="E441" s="10" t="s">
        <v>81</v>
      </c>
      <c r="F441" s="13">
        <v>1.1399999999999999</v>
      </c>
      <c r="G441" s="13">
        <v>0.12</v>
      </c>
      <c r="H441" s="13">
        <v>7.38</v>
      </c>
      <c r="I441" s="11">
        <v>35.159999999999997</v>
      </c>
      <c r="J441" s="25">
        <v>0</v>
      </c>
    </row>
    <row r="442" spans="1:10" x14ac:dyDescent="0.25">
      <c r="A442" s="178" t="s">
        <v>12</v>
      </c>
      <c r="B442" s="17"/>
      <c r="C442" s="180"/>
      <c r="D442" s="10">
        <f>D435+200+26+10+D438+D439+D440+D441</f>
        <v>637</v>
      </c>
      <c r="E442" s="10"/>
      <c r="F442" s="133">
        <f>SUM(F436:F441)</f>
        <v>29.85</v>
      </c>
      <c r="G442" s="133">
        <f>SUM(G436:G441)</f>
        <v>23.51</v>
      </c>
      <c r="H442" s="133">
        <f>SUM(H436:H441)</f>
        <v>69.66</v>
      </c>
      <c r="I442" s="9">
        <f>SUM(I436:I441)</f>
        <v>609.69999999999993</v>
      </c>
      <c r="J442" s="22">
        <f>SUM(J436:J441)</f>
        <v>82.86</v>
      </c>
    </row>
    <row r="443" spans="1:10" x14ac:dyDescent="0.25">
      <c r="A443" s="269" t="s">
        <v>37</v>
      </c>
      <c r="B443" s="269"/>
      <c r="C443" s="269"/>
      <c r="D443" s="269"/>
      <c r="E443" s="269"/>
      <c r="F443" s="269"/>
      <c r="G443" s="269"/>
      <c r="H443" s="269"/>
      <c r="I443" s="269"/>
      <c r="J443" s="6"/>
    </row>
    <row r="444" spans="1:10" ht="15" customHeight="1" x14ac:dyDescent="0.25">
      <c r="A444" s="298" t="s">
        <v>256</v>
      </c>
      <c r="B444" s="299"/>
      <c r="C444" s="300"/>
      <c r="D444" s="10" t="s">
        <v>48</v>
      </c>
      <c r="E444" s="10" t="s">
        <v>276</v>
      </c>
      <c r="F444" s="13">
        <v>10.199999999999999</v>
      </c>
      <c r="G444" s="13">
        <v>5.5</v>
      </c>
      <c r="H444" s="13">
        <v>9.4</v>
      </c>
      <c r="I444" s="11">
        <v>130</v>
      </c>
      <c r="J444" s="10">
        <v>1.5</v>
      </c>
    </row>
    <row r="445" spans="1:10" x14ac:dyDescent="0.25">
      <c r="A445" s="311" t="s">
        <v>378</v>
      </c>
      <c r="B445" s="312"/>
      <c r="C445" s="313"/>
      <c r="D445" s="10">
        <v>100</v>
      </c>
      <c r="E445" s="10" t="s">
        <v>338</v>
      </c>
      <c r="F445" s="13">
        <f>0.98+1.04</f>
        <v>2.02</v>
      </c>
      <c r="G445" s="13">
        <f>2.53+1.87</f>
        <v>4.4000000000000004</v>
      </c>
      <c r="H445" s="13">
        <f>7.28+8.34</f>
        <v>15.620000000000001</v>
      </c>
      <c r="I445" s="11">
        <f>55.78+54.37</f>
        <v>110.15</v>
      </c>
      <c r="J445" s="25">
        <f>6.3+10.2</f>
        <v>16.5</v>
      </c>
    </row>
    <row r="446" spans="1:10" ht="14.45" customHeight="1" x14ac:dyDescent="0.25">
      <c r="A446" s="249" t="s">
        <v>22</v>
      </c>
      <c r="B446" s="250"/>
      <c r="C446" s="251"/>
      <c r="D446" s="10">
        <v>180</v>
      </c>
      <c r="E446" s="10" t="s">
        <v>246</v>
      </c>
      <c r="F446" s="11">
        <v>1.22</v>
      </c>
      <c r="G446" s="11">
        <v>1.05</v>
      </c>
      <c r="H446" s="11">
        <v>12.01</v>
      </c>
      <c r="I446" s="11">
        <v>62.65</v>
      </c>
      <c r="J446" s="10">
        <v>0.55000000000000004</v>
      </c>
    </row>
    <row r="447" spans="1:10" ht="15" customHeight="1" x14ac:dyDescent="0.25">
      <c r="A447" s="249" t="s">
        <v>13</v>
      </c>
      <c r="B447" s="250"/>
      <c r="C447" s="251"/>
      <c r="D447" s="10">
        <v>15</v>
      </c>
      <c r="E447" s="10" t="s">
        <v>81</v>
      </c>
      <c r="F447" s="13">
        <v>1.1399999999999999</v>
      </c>
      <c r="G447" s="13">
        <v>0.12</v>
      </c>
      <c r="H447" s="13">
        <v>7.38</v>
      </c>
      <c r="I447" s="11">
        <v>35.159999999999997</v>
      </c>
      <c r="J447" s="25">
        <v>0</v>
      </c>
    </row>
    <row r="448" spans="1:10" ht="15" customHeight="1" x14ac:dyDescent="0.25">
      <c r="A448" s="243" t="s">
        <v>12</v>
      </c>
      <c r="B448" s="244"/>
      <c r="C448" s="245"/>
      <c r="D448" s="6">
        <f>D445+D447+70+40+D446</f>
        <v>405</v>
      </c>
      <c r="E448" s="6"/>
      <c r="F448" s="133">
        <f>SUM(F444:F447)</f>
        <v>14.58</v>
      </c>
      <c r="G448" s="133">
        <f t="shared" ref="G448:J448" si="29">SUM(G444:G447)</f>
        <v>11.07</v>
      </c>
      <c r="H448" s="133">
        <f t="shared" si="29"/>
        <v>44.410000000000004</v>
      </c>
      <c r="I448" s="133">
        <f t="shared" si="29"/>
        <v>337.96000000000004</v>
      </c>
      <c r="J448" s="133">
        <f t="shared" si="29"/>
        <v>18.55</v>
      </c>
    </row>
    <row r="449" spans="1:10" ht="24" customHeight="1" x14ac:dyDescent="0.25">
      <c r="A449" s="243" t="s">
        <v>14</v>
      </c>
      <c r="B449" s="244"/>
      <c r="C449" s="245"/>
      <c r="D449" s="6"/>
      <c r="E449" s="6"/>
      <c r="F449" s="133">
        <f>F448+F442+F433+F430</f>
        <v>53.58</v>
      </c>
      <c r="G449" s="133">
        <f>G448+G442+G433+G430</f>
        <v>45.839999999999996</v>
      </c>
      <c r="H449" s="133">
        <f>H448+H442+H433+H430</f>
        <v>162.06</v>
      </c>
      <c r="I449" s="133">
        <f>I448+I442+I433+I430</f>
        <v>1279.32</v>
      </c>
      <c r="J449" s="133">
        <f>J448+J442+J433+J430</f>
        <v>113.1</v>
      </c>
    </row>
    <row r="450" spans="1:10" ht="38.25" x14ac:dyDescent="0.25">
      <c r="A450" s="269" t="s">
        <v>0</v>
      </c>
      <c r="B450" s="269"/>
      <c r="C450" s="269"/>
      <c r="D450" s="6" t="s">
        <v>1</v>
      </c>
      <c r="E450" s="6" t="s">
        <v>2</v>
      </c>
      <c r="F450" s="133" t="s">
        <v>3</v>
      </c>
      <c r="G450" s="133" t="s">
        <v>4</v>
      </c>
      <c r="H450" s="133" t="s">
        <v>28</v>
      </c>
      <c r="I450" s="157" t="s">
        <v>75</v>
      </c>
      <c r="J450" s="140" t="s">
        <v>83</v>
      </c>
    </row>
    <row r="451" spans="1:10" x14ac:dyDescent="0.25">
      <c r="A451" s="269" t="s">
        <v>222</v>
      </c>
      <c r="B451" s="269"/>
      <c r="C451" s="269"/>
      <c r="D451" s="269"/>
      <c r="E451" s="269"/>
      <c r="F451" s="269"/>
      <c r="G451" s="269"/>
      <c r="H451" s="269"/>
      <c r="I451" s="269"/>
      <c r="J451" s="269"/>
    </row>
    <row r="452" spans="1:10" x14ac:dyDescent="0.25">
      <c r="A452" s="269" t="s">
        <v>15</v>
      </c>
      <c r="B452" s="269"/>
      <c r="C452" s="269"/>
      <c r="D452" s="269"/>
      <c r="E452" s="269"/>
      <c r="F452" s="269"/>
      <c r="G452" s="269"/>
      <c r="H452" s="269"/>
      <c r="I452" s="269"/>
      <c r="J452" s="269"/>
    </row>
    <row r="453" spans="1:10" x14ac:dyDescent="0.25">
      <c r="A453" s="269" t="s">
        <v>9</v>
      </c>
      <c r="B453" s="269"/>
      <c r="C453" s="269"/>
      <c r="D453" s="269"/>
      <c r="E453" s="269"/>
      <c r="F453" s="269"/>
      <c r="G453" s="269"/>
      <c r="H453" s="269"/>
      <c r="I453" s="269"/>
      <c r="J453" s="269"/>
    </row>
    <row r="454" spans="1:10" ht="15" customHeight="1" x14ac:dyDescent="0.25">
      <c r="A454" s="294" t="s">
        <v>315</v>
      </c>
      <c r="B454" s="294"/>
      <c r="C454" s="294"/>
      <c r="D454" s="135" t="s">
        <v>344</v>
      </c>
      <c r="E454" s="10" t="s">
        <v>143</v>
      </c>
      <c r="F454" s="13">
        <v>1.53</v>
      </c>
      <c r="G454" s="13">
        <v>3.48</v>
      </c>
      <c r="H454" s="13">
        <v>1.1499999999999999</v>
      </c>
      <c r="I454" s="11">
        <v>79.040000000000006</v>
      </c>
      <c r="J454" s="25">
        <v>0</v>
      </c>
    </row>
    <row r="455" spans="1:10" ht="33" customHeight="1" x14ac:dyDescent="0.25">
      <c r="A455" s="280" t="s">
        <v>207</v>
      </c>
      <c r="B455" s="280"/>
      <c r="C455" s="280"/>
      <c r="D455" s="10" t="s">
        <v>69</v>
      </c>
      <c r="E455" s="10">
        <v>90.200500000000005</v>
      </c>
      <c r="F455" s="13">
        <v>4.4000000000000004</v>
      </c>
      <c r="G455" s="13">
        <v>5.09</v>
      </c>
      <c r="H455" s="13">
        <v>21.73</v>
      </c>
      <c r="I455" s="11">
        <v>150.86000000000001</v>
      </c>
      <c r="J455" s="10">
        <v>1.03</v>
      </c>
    </row>
    <row r="456" spans="1:10" ht="14.45" customHeight="1" x14ac:dyDescent="0.25">
      <c r="A456" s="249" t="s">
        <v>151</v>
      </c>
      <c r="B456" s="250"/>
      <c r="C456" s="251"/>
      <c r="D456" s="24">
        <v>180</v>
      </c>
      <c r="E456" s="24" t="s">
        <v>248</v>
      </c>
      <c r="F456" s="13">
        <v>5.22</v>
      </c>
      <c r="G456" s="13">
        <v>4.5</v>
      </c>
      <c r="H456" s="13">
        <v>21.14</v>
      </c>
      <c r="I456" s="13">
        <v>147.19</v>
      </c>
      <c r="J456" s="14">
        <v>2.34</v>
      </c>
    </row>
    <row r="457" spans="1:10" ht="18.75" customHeight="1" x14ac:dyDescent="0.25">
      <c r="A457" s="243" t="s">
        <v>12</v>
      </c>
      <c r="B457" s="244"/>
      <c r="C457" s="245"/>
      <c r="D457" s="10">
        <f>D456+24+154</f>
        <v>358</v>
      </c>
      <c r="E457" s="10"/>
      <c r="F457" s="133">
        <f>SUM(F454:F456)</f>
        <v>11.15</v>
      </c>
      <c r="G457" s="133">
        <f t="shared" ref="G457:J457" si="30">SUM(G454:G456)</f>
        <v>13.07</v>
      </c>
      <c r="H457" s="133">
        <f t="shared" si="30"/>
        <v>44.019999999999996</v>
      </c>
      <c r="I457" s="133">
        <f t="shared" si="30"/>
        <v>377.09000000000003</v>
      </c>
      <c r="J457" s="133">
        <f t="shared" si="30"/>
        <v>3.37</v>
      </c>
    </row>
    <row r="458" spans="1:10" ht="13.15" customHeight="1" x14ac:dyDescent="0.25">
      <c r="A458" s="269" t="s">
        <v>8</v>
      </c>
      <c r="B458" s="269"/>
      <c r="C458" s="269"/>
      <c r="D458" s="269"/>
      <c r="E458" s="269"/>
      <c r="F458" s="269"/>
      <c r="G458" s="269"/>
      <c r="H458" s="269"/>
      <c r="I458" s="269"/>
      <c r="J458" s="6"/>
    </row>
    <row r="459" spans="1:10" ht="13.15" customHeight="1" x14ac:dyDescent="0.25">
      <c r="A459" s="249" t="s">
        <v>38</v>
      </c>
      <c r="B459" s="250"/>
      <c r="C459" s="251"/>
      <c r="D459" s="33">
        <v>10</v>
      </c>
      <c r="E459" s="33" t="s">
        <v>77</v>
      </c>
      <c r="F459" s="33">
        <v>0.77</v>
      </c>
      <c r="G459" s="33">
        <v>1.1000000000000001</v>
      </c>
      <c r="H459" s="33">
        <v>7.1</v>
      </c>
      <c r="I459" s="33">
        <v>41.41</v>
      </c>
      <c r="J459" s="25">
        <v>0</v>
      </c>
    </row>
    <row r="460" spans="1:10" x14ac:dyDescent="0.25">
      <c r="A460" s="249" t="s">
        <v>24</v>
      </c>
      <c r="B460" s="250"/>
      <c r="C460" s="251"/>
      <c r="D460" s="24">
        <v>180</v>
      </c>
      <c r="E460" s="24" t="s">
        <v>245</v>
      </c>
      <c r="F460" s="25">
        <v>0.9</v>
      </c>
      <c r="G460" s="25">
        <v>0.18</v>
      </c>
      <c r="H460" s="25">
        <v>18.18</v>
      </c>
      <c r="I460" s="25">
        <v>77.94</v>
      </c>
      <c r="J460" s="25">
        <v>3.6</v>
      </c>
    </row>
    <row r="461" spans="1:10" x14ac:dyDescent="0.25">
      <c r="A461" s="243" t="s">
        <v>12</v>
      </c>
      <c r="B461" s="244"/>
      <c r="C461" s="245"/>
      <c r="D461" s="24">
        <f>D459+D460</f>
        <v>190</v>
      </c>
      <c r="E461" s="10"/>
      <c r="F461" s="133">
        <f>F459+F460</f>
        <v>1.67</v>
      </c>
      <c r="G461" s="133">
        <f t="shared" ref="G461:J461" si="31">G459+G460</f>
        <v>1.28</v>
      </c>
      <c r="H461" s="133">
        <f t="shared" si="31"/>
        <v>25.28</v>
      </c>
      <c r="I461" s="133">
        <f t="shared" si="31"/>
        <v>119.35</v>
      </c>
      <c r="J461" s="133">
        <f t="shared" si="31"/>
        <v>3.6</v>
      </c>
    </row>
    <row r="462" spans="1:10" ht="18" customHeight="1" x14ac:dyDescent="0.25">
      <c r="A462" s="314" t="s">
        <v>11</v>
      </c>
      <c r="B462" s="315"/>
      <c r="C462" s="315"/>
      <c r="D462" s="315"/>
      <c r="E462" s="315"/>
      <c r="F462" s="315"/>
      <c r="G462" s="315"/>
      <c r="H462" s="315"/>
      <c r="I462" s="315"/>
      <c r="J462" s="316"/>
    </row>
    <row r="463" spans="1:10" ht="18" customHeight="1" x14ac:dyDescent="0.25">
      <c r="A463" s="280" t="s">
        <v>171</v>
      </c>
      <c r="B463" s="280"/>
      <c r="C463" s="280"/>
      <c r="D463" s="24">
        <v>45</v>
      </c>
      <c r="E463" s="24">
        <v>78.200400000000002</v>
      </c>
      <c r="F463" s="24">
        <v>0.63</v>
      </c>
      <c r="G463" s="24">
        <v>1.56</v>
      </c>
      <c r="H463" s="24">
        <v>3.94</v>
      </c>
      <c r="I463" s="24">
        <v>32.200000000000003</v>
      </c>
      <c r="J463" s="24">
        <v>2.93</v>
      </c>
    </row>
    <row r="464" spans="1:10" ht="26.45" customHeight="1" x14ac:dyDescent="0.25">
      <c r="A464" s="307" t="s">
        <v>214</v>
      </c>
      <c r="B464" s="308"/>
      <c r="C464" s="309"/>
      <c r="D464" s="12" t="s">
        <v>358</v>
      </c>
      <c r="E464" s="10">
        <v>33.200499999999998</v>
      </c>
      <c r="F464" s="13">
        <f>2.33+0.86</f>
        <v>3.19</v>
      </c>
      <c r="G464" s="13">
        <f>5.07+0.8</f>
        <v>5.87</v>
      </c>
      <c r="H464" s="13">
        <f>14.82+0.04</f>
        <v>14.86</v>
      </c>
      <c r="I464" s="11">
        <f>107.51+10.8</f>
        <v>118.31</v>
      </c>
      <c r="J464" s="10">
        <f>27.48+0.05</f>
        <v>27.53</v>
      </c>
    </row>
    <row r="465" spans="1:10" x14ac:dyDescent="0.25">
      <c r="A465" s="249" t="s">
        <v>229</v>
      </c>
      <c r="B465" s="250"/>
      <c r="C465" s="251"/>
      <c r="D465" s="10">
        <v>60</v>
      </c>
      <c r="E465" s="10" t="s">
        <v>277</v>
      </c>
      <c r="F465" s="13">
        <v>7.63</v>
      </c>
      <c r="G465" s="13">
        <v>8.7799999999999994</v>
      </c>
      <c r="H465" s="13">
        <v>7.88</v>
      </c>
      <c r="I465" s="11">
        <v>140.99</v>
      </c>
      <c r="J465" s="10">
        <v>4.46</v>
      </c>
    </row>
    <row r="466" spans="1:10" x14ac:dyDescent="0.25">
      <c r="A466" s="324" t="s">
        <v>67</v>
      </c>
      <c r="B466" s="325"/>
      <c r="C466" s="326"/>
      <c r="D466" s="33">
        <v>150</v>
      </c>
      <c r="E466" s="10">
        <v>541.20039999999995</v>
      </c>
      <c r="F466" s="29">
        <v>2.46</v>
      </c>
      <c r="G466" s="29">
        <v>3.5</v>
      </c>
      <c r="H466" s="29">
        <v>14.62</v>
      </c>
      <c r="I466" s="29">
        <v>100.17</v>
      </c>
      <c r="J466" s="25">
        <v>41.67</v>
      </c>
    </row>
    <row r="467" spans="1:10" x14ac:dyDescent="0.25">
      <c r="A467" s="15" t="s">
        <v>247</v>
      </c>
      <c r="B467" s="15"/>
      <c r="C467" s="15"/>
      <c r="D467" s="24">
        <v>150</v>
      </c>
      <c r="E467" s="24" t="s">
        <v>234</v>
      </c>
      <c r="F467" s="25">
        <v>0.27</v>
      </c>
      <c r="G467" s="25">
        <v>0.06</v>
      </c>
      <c r="H467" s="25">
        <v>9.99</v>
      </c>
      <c r="I467" s="29">
        <v>70.930000000000007</v>
      </c>
      <c r="J467" s="25">
        <v>0.39</v>
      </c>
    </row>
    <row r="468" spans="1:10" x14ac:dyDescent="0.25">
      <c r="A468" s="136" t="s">
        <v>23</v>
      </c>
      <c r="B468" s="137"/>
      <c r="C468" s="138"/>
      <c r="D468" s="10">
        <v>36</v>
      </c>
      <c r="E468" s="10" t="s">
        <v>80</v>
      </c>
      <c r="F468" s="13">
        <v>2.2000000000000002</v>
      </c>
      <c r="G468" s="13">
        <v>0.43</v>
      </c>
      <c r="H468" s="13">
        <v>14.36</v>
      </c>
      <c r="I468" s="11">
        <v>70</v>
      </c>
      <c r="J468" s="25">
        <v>0</v>
      </c>
    </row>
    <row r="469" spans="1:10" x14ac:dyDescent="0.25">
      <c r="A469" s="249" t="s">
        <v>13</v>
      </c>
      <c r="B469" s="250"/>
      <c r="C469" s="251"/>
      <c r="D469" s="10">
        <v>15</v>
      </c>
      <c r="E469" s="10" t="s">
        <v>81</v>
      </c>
      <c r="F469" s="13">
        <v>1.1399999999999999</v>
      </c>
      <c r="G469" s="13">
        <v>0.12</v>
      </c>
      <c r="H469" s="13">
        <v>7.38</v>
      </c>
      <c r="I469" s="11">
        <v>35.159999999999997</v>
      </c>
      <c r="J469" s="25">
        <v>0</v>
      </c>
    </row>
    <row r="470" spans="1:10" x14ac:dyDescent="0.25">
      <c r="A470" s="243" t="s">
        <v>12</v>
      </c>
      <c r="B470" s="244"/>
      <c r="C470" s="245"/>
      <c r="D470" s="10">
        <f>D469+D468+D467+D466+D465+D463+200+5+15</f>
        <v>676</v>
      </c>
      <c r="E470" s="10"/>
      <c r="F470" s="133">
        <f>SUM(F464:F469)</f>
        <v>16.89</v>
      </c>
      <c r="G470" s="133">
        <f t="shared" ref="G470:J470" si="32">SUM(G464:G469)</f>
        <v>18.759999999999998</v>
      </c>
      <c r="H470" s="133">
        <f t="shared" si="32"/>
        <v>69.09</v>
      </c>
      <c r="I470" s="9">
        <f t="shared" si="32"/>
        <v>535.56000000000006</v>
      </c>
      <c r="J470" s="133">
        <f t="shared" si="32"/>
        <v>74.05</v>
      </c>
    </row>
    <row r="471" spans="1:10" x14ac:dyDescent="0.25">
      <c r="A471" s="269" t="s">
        <v>37</v>
      </c>
      <c r="B471" s="269"/>
      <c r="C471" s="269"/>
      <c r="D471" s="269"/>
      <c r="E471" s="269"/>
      <c r="F471" s="269"/>
      <c r="G471" s="269"/>
      <c r="H471" s="269"/>
      <c r="I471" s="269"/>
      <c r="J471" s="10">
        <v>3.3</v>
      </c>
    </row>
    <row r="472" spans="1:10" ht="15" customHeight="1" x14ac:dyDescent="0.25">
      <c r="A472" s="249" t="s">
        <v>310</v>
      </c>
      <c r="B472" s="250"/>
      <c r="C472" s="251"/>
      <c r="D472" s="10">
        <v>130</v>
      </c>
      <c r="E472" s="10">
        <v>200.16</v>
      </c>
      <c r="F472" s="10">
        <v>16.829999999999998</v>
      </c>
      <c r="G472" s="10">
        <v>8.6199999999999992</v>
      </c>
      <c r="H472" s="10">
        <v>29.88</v>
      </c>
      <c r="I472" s="14">
        <v>262.88</v>
      </c>
      <c r="J472" s="10">
        <v>3.89</v>
      </c>
    </row>
    <row r="473" spans="1:10" x14ac:dyDescent="0.25">
      <c r="A473" s="249" t="s">
        <v>13</v>
      </c>
      <c r="B473" s="250"/>
      <c r="C473" s="251"/>
      <c r="D473" s="10">
        <v>15</v>
      </c>
      <c r="E473" s="10" t="s">
        <v>81</v>
      </c>
      <c r="F473" s="13">
        <v>1.1399999999999999</v>
      </c>
      <c r="G473" s="13">
        <v>0.12</v>
      </c>
      <c r="H473" s="13">
        <v>7.38</v>
      </c>
      <c r="I473" s="11">
        <v>35.159999999999997</v>
      </c>
      <c r="J473" s="25">
        <v>0</v>
      </c>
    </row>
    <row r="474" spans="1:10" x14ac:dyDescent="0.25">
      <c r="A474" s="249" t="s">
        <v>285</v>
      </c>
      <c r="B474" s="250"/>
      <c r="C474" s="251"/>
      <c r="D474" s="10" t="s">
        <v>266</v>
      </c>
      <c r="E474" s="10">
        <v>251</v>
      </c>
      <c r="F474" s="13">
        <v>4.5199999999999996</v>
      </c>
      <c r="G474" s="13">
        <v>4.99</v>
      </c>
      <c r="H474" s="13">
        <f>6.24+2.99</f>
        <v>9.23</v>
      </c>
      <c r="I474" s="11">
        <f>87.98+11.98</f>
        <v>99.960000000000008</v>
      </c>
      <c r="J474" s="8">
        <v>1.0900000000000001</v>
      </c>
    </row>
    <row r="475" spans="1:10" ht="15" customHeight="1" x14ac:dyDescent="0.25">
      <c r="A475" s="249" t="s">
        <v>273</v>
      </c>
      <c r="B475" s="250"/>
      <c r="C475" s="251"/>
      <c r="D475" s="10">
        <v>105</v>
      </c>
      <c r="E475" s="10" t="s">
        <v>77</v>
      </c>
      <c r="F475" s="13">
        <v>0.42</v>
      </c>
      <c r="G475" s="13">
        <v>0.42</v>
      </c>
      <c r="H475" s="13">
        <v>10.29</v>
      </c>
      <c r="I475" s="11">
        <v>46.62</v>
      </c>
      <c r="J475" s="25">
        <v>10.5</v>
      </c>
    </row>
    <row r="476" spans="1:10" ht="15" customHeight="1" x14ac:dyDescent="0.25">
      <c r="A476" s="243" t="s">
        <v>12</v>
      </c>
      <c r="B476" s="244"/>
      <c r="C476" s="245"/>
      <c r="D476" s="6">
        <f>D475+D473+D472+150+3</f>
        <v>403</v>
      </c>
      <c r="E476" s="6"/>
      <c r="F476" s="133">
        <f>SUM(F472:F475)</f>
        <v>22.91</v>
      </c>
      <c r="G476" s="133">
        <f t="shared" ref="G476:J476" si="33">SUM(G472:G475)</f>
        <v>14.149999999999999</v>
      </c>
      <c r="H476" s="133">
        <f t="shared" si="33"/>
        <v>56.779999999999994</v>
      </c>
      <c r="I476" s="133">
        <f t="shared" si="33"/>
        <v>444.62</v>
      </c>
      <c r="J476" s="133">
        <f t="shared" si="33"/>
        <v>15.48</v>
      </c>
    </row>
    <row r="477" spans="1:10" x14ac:dyDescent="0.25">
      <c r="A477" s="243" t="s">
        <v>14</v>
      </c>
      <c r="B477" s="244"/>
      <c r="C477" s="245"/>
      <c r="D477" s="10"/>
      <c r="E477" s="10"/>
      <c r="F477" s="22">
        <f>F476+F470+F461+F457</f>
        <v>52.62</v>
      </c>
      <c r="G477" s="22">
        <f t="shared" ref="G477:J477" si="34">G476+G470+G461+G457</f>
        <v>47.26</v>
      </c>
      <c r="H477" s="22">
        <f t="shared" si="34"/>
        <v>195.17000000000002</v>
      </c>
      <c r="I477" s="22">
        <f t="shared" si="34"/>
        <v>1476.62</v>
      </c>
      <c r="J477" s="22">
        <f t="shared" si="34"/>
        <v>96.5</v>
      </c>
    </row>
    <row r="478" spans="1:10" ht="38.25" x14ac:dyDescent="0.25">
      <c r="A478" s="269" t="s">
        <v>0</v>
      </c>
      <c r="B478" s="269"/>
      <c r="C478" s="269"/>
      <c r="D478" s="6" t="s">
        <v>1</v>
      </c>
      <c r="E478" s="6" t="s">
        <v>2</v>
      </c>
      <c r="F478" s="133" t="s">
        <v>3</v>
      </c>
      <c r="G478" s="133" t="s">
        <v>4</v>
      </c>
      <c r="H478" s="133" t="s">
        <v>28</v>
      </c>
      <c r="I478" s="157" t="s">
        <v>75</v>
      </c>
      <c r="J478" s="6" t="s">
        <v>76</v>
      </c>
    </row>
    <row r="479" spans="1:10" x14ac:dyDescent="0.25">
      <c r="A479" s="269" t="s">
        <v>222</v>
      </c>
      <c r="B479" s="269"/>
      <c r="C479" s="269"/>
      <c r="D479" s="269"/>
      <c r="E479" s="269"/>
      <c r="F479" s="269"/>
      <c r="G479" s="269"/>
      <c r="H479" s="269"/>
      <c r="I479" s="269"/>
      <c r="J479" s="269"/>
    </row>
    <row r="480" spans="1:10" x14ac:dyDescent="0.25">
      <c r="A480" s="269" t="s">
        <v>17</v>
      </c>
      <c r="B480" s="269"/>
      <c r="C480" s="269"/>
      <c r="D480" s="269"/>
      <c r="E480" s="269"/>
      <c r="F480" s="269"/>
      <c r="G480" s="269"/>
      <c r="H480" s="269"/>
      <c r="I480" s="269"/>
      <c r="J480" s="269"/>
    </row>
    <row r="481" spans="1:10" x14ac:dyDescent="0.25">
      <c r="A481" s="269" t="s">
        <v>9</v>
      </c>
      <c r="B481" s="269"/>
      <c r="C481" s="269"/>
      <c r="D481" s="269"/>
      <c r="E481" s="269"/>
      <c r="F481" s="269"/>
      <c r="G481" s="269"/>
      <c r="H481" s="269"/>
      <c r="I481" s="269"/>
      <c r="J481" s="269"/>
    </row>
    <row r="482" spans="1:10" ht="39" customHeight="1" x14ac:dyDescent="0.25">
      <c r="A482" s="270" t="s">
        <v>299</v>
      </c>
      <c r="B482" s="270"/>
      <c r="C482" s="270"/>
      <c r="D482" s="24">
        <v>150</v>
      </c>
      <c r="E482" s="24">
        <v>221</v>
      </c>
      <c r="F482" s="25">
        <v>7.11</v>
      </c>
      <c r="G482" s="25">
        <v>3.68</v>
      </c>
      <c r="H482" s="25">
        <v>39.090000000000003</v>
      </c>
      <c r="I482" s="29">
        <v>217.9</v>
      </c>
      <c r="J482" s="25">
        <v>0.03</v>
      </c>
    </row>
    <row r="483" spans="1:10" ht="14.45" customHeight="1" x14ac:dyDescent="0.25">
      <c r="A483" s="310" t="s">
        <v>153</v>
      </c>
      <c r="B483" s="310"/>
      <c r="C483" s="310"/>
      <c r="D483" s="65">
        <v>180</v>
      </c>
      <c r="E483" s="58" t="s">
        <v>154</v>
      </c>
      <c r="F483" s="13">
        <v>6.32</v>
      </c>
      <c r="G483" s="13">
        <v>5.29</v>
      </c>
      <c r="H483" s="13">
        <v>21.62</v>
      </c>
      <c r="I483" s="11">
        <v>160.57</v>
      </c>
      <c r="J483" s="58">
        <v>2.54</v>
      </c>
    </row>
    <row r="484" spans="1:10" ht="15" customHeight="1" x14ac:dyDescent="0.25">
      <c r="A484" s="294" t="s">
        <v>315</v>
      </c>
      <c r="B484" s="294"/>
      <c r="C484" s="294"/>
      <c r="D484" s="135" t="s">
        <v>344</v>
      </c>
      <c r="E484" s="10" t="s">
        <v>143</v>
      </c>
      <c r="F484" s="13">
        <v>1.53</v>
      </c>
      <c r="G484" s="13">
        <v>3.48</v>
      </c>
      <c r="H484" s="13">
        <v>1.1499999999999999</v>
      </c>
      <c r="I484" s="11">
        <v>79.040000000000006</v>
      </c>
      <c r="J484" s="25">
        <v>0</v>
      </c>
    </row>
    <row r="485" spans="1:10" x14ac:dyDescent="0.25">
      <c r="A485" s="243" t="s">
        <v>12</v>
      </c>
      <c r="B485" s="244"/>
      <c r="C485" s="245"/>
      <c r="D485" s="10">
        <f>24+D483+D482</f>
        <v>354</v>
      </c>
      <c r="E485" s="10"/>
      <c r="F485" s="133">
        <f t="shared" ref="F485:J485" si="35">SUM(F482:F484)</f>
        <v>14.959999999999999</v>
      </c>
      <c r="G485" s="133">
        <f t="shared" si="35"/>
        <v>12.450000000000001</v>
      </c>
      <c r="H485" s="133">
        <f t="shared" si="35"/>
        <v>61.860000000000007</v>
      </c>
      <c r="I485" s="133">
        <f t="shared" si="35"/>
        <v>457.51000000000005</v>
      </c>
      <c r="J485" s="133">
        <f t="shared" si="35"/>
        <v>2.57</v>
      </c>
    </row>
    <row r="486" spans="1:10" x14ac:dyDescent="0.25">
      <c r="A486" s="269" t="s">
        <v>8</v>
      </c>
      <c r="B486" s="269"/>
      <c r="C486" s="269"/>
      <c r="D486" s="269"/>
      <c r="E486" s="269"/>
      <c r="F486" s="269"/>
      <c r="G486" s="269"/>
      <c r="H486" s="269"/>
      <c r="I486" s="269"/>
      <c r="J486" s="10"/>
    </row>
    <row r="487" spans="1:10" x14ac:dyDescent="0.25">
      <c r="A487" s="249" t="s">
        <v>273</v>
      </c>
      <c r="B487" s="250"/>
      <c r="C487" s="251"/>
      <c r="D487" s="33">
        <v>100</v>
      </c>
      <c r="E487" s="24" t="s">
        <v>77</v>
      </c>
      <c r="F487" s="25">
        <v>0.4</v>
      </c>
      <c r="G487" s="25">
        <v>0.4</v>
      </c>
      <c r="H487" s="25">
        <v>9.8000000000000007</v>
      </c>
      <c r="I487" s="25">
        <v>44.4</v>
      </c>
      <c r="J487" s="25">
        <v>10</v>
      </c>
    </row>
    <row r="488" spans="1:10" x14ac:dyDescent="0.25">
      <c r="A488" s="243" t="s">
        <v>12</v>
      </c>
      <c r="B488" s="244"/>
      <c r="C488" s="245"/>
      <c r="D488" s="10"/>
      <c r="E488" s="10"/>
      <c r="F488" s="133">
        <f>SUM(F487:F487)</f>
        <v>0.4</v>
      </c>
      <c r="G488" s="133">
        <f>SUM(G487:G487)</f>
        <v>0.4</v>
      </c>
      <c r="H488" s="133">
        <f>SUM(H487:H487)</f>
        <v>9.8000000000000007</v>
      </c>
      <c r="I488" s="9">
        <f>SUM(I487:I487)</f>
        <v>44.4</v>
      </c>
      <c r="J488" s="6">
        <f>SUM(J487:J487)</f>
        <v>10</v>
      </c>
    </row>
    <row r="489" spans="1:10" x14ac:dyDescent="0.25">
      <c r="A489" s="269" t="s">
        <v>11</v>
      </c>
      <c r="B489" s="269"/>
      <c r="C489" s="269"/>
      <c r="D489" s="269"/>
      <c r="E489" s="269"/>
      <c r="F489" s="269"/>
      <c r="G489" s="269"/>
      <c r="H489" s="269"/>
      <c r="I489" s="269"/>
      <c r="J489" s="6"/>
    </row>
    <row r="490" spans="1:10" ht="15" customHeight="1" x14ac:dyDescent="0.25">
      <c r="A490" s="298" t="s">
        <v>326</v>
      </c>
      <c r="B490" s="299"/>
      <c r="C490" s="300"/>
      <c r="D490" s="24">
        <v>45</v>
      </c>
      <c r="E490" s="24">
        <v>1.2004999999999999</v>
      </c>
      <c r="F490" s="24">
        <v>0.6</v>
      </c>
      <c r="G490" s="24">
        <v>4.08</v>
      </c>
      <c r="H490" s="24">
        <v>3.74</v>
      </c>
      <c r="I490" s="33">
        <v>54.07</v>
      </c>
      <c r="J490" s="10">
        <v>4.47</v>
      </c>
    </row>
    <row r="491" spans="1:10" ht="15" customHeight="1" x14ac:dyDescent="0.25">
      <c r="A491" s="270" t="s">
        <v>317</v>
      </c>
      <c r="B491" s="270"/>
      <c r="C491" s="270"/>
      <c r="D491" s="12">
        <v>200</v>
      </c>
      <c r="E491" s="10">
        <v>336</v>
      </c>
      <c r="F491" s="13">
        <v>5.23</v>
      </c>
      <c r="G491" s="13">
        <v>5.19</v>
      </c>
      <c r="H491" s="13">
        <v>13.95</v>
      </c>
      <c r="I491" s="11">
        <v>123.38</v>
      </c>
      <c r="J491" s="10">
        <v>13.2</v>
      </c>
    </row>
    <row r="492" spans="1:10" x14ac:dyDescent="0.25">
      <c r="A492" s="249" t="s">
        <v>311</v>
      </c>
      <c r="B492" s="250"/>
      <c r="C492" s="251"/>
      <c r="D492" s="10">
        <v>200</v>
      </c>
      <c r="E492" s="10" t="s">
        <v>98</v>
      </c>
      <c r="F492" s="13">
        <v>11.09</v>
      </c>
      <c r="G492" s="13">
        <v>14.27</v>
      </c>
      <c r="H492" s="13">
        <v>14.71</v>
      </c>
      <c r="I492" s="11">
        <v>235.25</v>
      </c>
      <c r="J492" s="10">
        <v>108.6</v>
      </c>
    </row>
    <row r="493" spans="1:10" x14ac:dyDescent="0.25">
      <c r="A493" s="295" t="s">
        <v>323</v>
      </c>
      <c r="B493" s="296"/>
      <c r="C493" s="297"/>
      <c r="D493" s="24">
        <v>150</v>
      </c>
      <c r="E493" s="24">
        <v>394.16</v>
      </c>
      <c r="F493" s="25">
        <v>0.23</v>
      </c>
      <c r="G493" s="25">
        <v>0.05</v>
      </c>
      <c r="H493" s="25">
        <v>16.559999999999999</v>
      </c>
      <c r="I493" s="29">
        <v>67.61</v>
      </c>
      <c r="J493" s="25">
        <v>0.39</v>
      </c>
    </row>
    <row r="494" spans="1:10" x14ac:dyDescent="0.25">
      <c r="A494" s="136" t="s">
        <v>23</v>
      </c>
      <c r="B494" s="137"/>
      <c r="C494" s="138"/>
      <c r="D494" s="10">
        <v>36</v>
      </c>
      <c r="E494" s="10" t="s">
        <v>80</v>
      </c>
      <c r="F494" s="13">
        <v>2.2000000000000002</v>
      </c>
      <c r="G494" s="13">
        <v>0.43</v>
      </c>
      <c r="H494" s="13">
        <v>14.36</v>
      </c>
      <c r="I494" s="11">
        <v>70</v>
      </c>
      <c r="J494" s="25">
        <v>0</v>
      </c>
    </row>
    <row r="495" spans="1:10" x14ac:dyDescent="0.25">
      <c r="A495" s="249" t="s">
        <v>13</v>
      </c>
      <c r="B495" s="250"/>
      <c r="C495" s="251"/>
      <c r="D495" s="10">
        <v>15</v>
      </c>
      <c r="E495" s="10" t="s">
        <v>81</v>
      </c>
      <c r="F495" s="13">
        <v>1.1399999999999999</v>
      </c>
      <c r="G495" s="13">
        <v>0.12</v>
      </c>
      <c r="H495" s="13">
        <v>7.38</v>
      </c>
      <c r="I495" s="11">
        <v>35.159999999999997</v>
      </c>
      <c r="J495" s="25">
        <v>0</v>
      </c>
    </row>
    <row r="496" spans="1:10" x14ac:dyDescent="0.25">
      <c r="A496" s="243" t="s">
        <v>12</v>
      </c>
      <c r="B496" s="244"/>
      <c r="C496" s="245"/>
      <c r="D496" s="10">
        <f>D495+D494+D493+D492+D491+D490</f>
        <v>646</v>
      </c>
      <c r="E496" s="10"/>
      <c r="F496" s="133">
        <f>SUM(F490:F495)</f>
        <v>20.490000000000002</v>
      </c>
      <c r="G496" s="133">
        <f t="shared" ref="G496:J496" si="36">SUM(G490:G495)</f>
        <v>24.14</v>
      </c>
      <c r="H496" s="133">
        <f t="shared" si="36"/>
        <v>70.699999999999989</v>
      </c>
      <c r="I496" s="133">
        <f t="shared" si="36"/>
        <v>585.46999999999991</v>
      </c>
      <c r="J496" s="133">
        <f t="shared" si="36"/>
        <v>126.66</v>
      </c>
    </row>
    <row r="497" spans="1:10" x14ac:dyDescent="0.25">
      <c r="A497" s="269" t="s">
        <v>37</v>
      </c>
      <c r="B497" s="269"/>
      <c r="C497" s="269"/>
      <c r="D497" s="269"/>
      <c r="E497" s="269"/>
      <c r="F497" s="269"/>
      <c r="G497" s="269"/>
      <c r="H497" s="269"/>
      <c r="I497" s="269"/>
      <c r="J497" s="10"/>
    </row>
    <row r="498" spans="1:10" ht="12.6" customHeight="1" x14ac:dyDescent="0.25">
      <c r="A498" s="249" t="s">
        <v>313</v>
      </c>
      <c r="B498" s="250"/>
      <c r="C498" s="251"/>
      <c r="D498" s="24">
        <v>85</v>
      </c>
      <c r="E498" s="24">
        <v>238.16</v>
      </c>
      <c r="F498" s="25">
        <v>11.06</v>
      </c>
      <c r="G498" s="25">
        <v>16.61</v>
      </c>
      <c r="H498" s="25">
        <v>1.77</v>
      </c>
      <c r="I498" s="29">
        <v>200.93</v>
      </c>
      <c r="J498" s="25">
        <v>0.36</v>
      </c>
    </row>
    <row r="499" spans="1:10" ht="15" customHeight="1" x14ac:dyDescent="0.25">
      <c r="A499" s="305" t="s">
        <v>258</v>
      </c>
      <c r="B499" s="305"/>
      <c r="C499" s="306"/>
      <c r="D499" s="12">
        <v>130</v>
      </c>
      <c r="E499" s="189">
        <v>212.05</v>
      </c>
      <c r="F499" s="25">
        <v>1.92</v>
      </c>
      <c r="G499" s="25">
        <v>2.04</v>
      </c>
      <c r="H499" s="25">
        <v>11.4</v>
      </c>
      <c r="I499" s="29">
        <v>71.569999999999993</v>
      </c>
      <c r="J499" s="25">
        <v>7.3</v>
      </c>
    </row>
    <row r="500" spans="1:10" ht="15" customHeight="1" x14ac:dyDescent="0.25">
      <c r="A500" s="249" t="s">
        <v>13</v>
      </c>
      <c r="B500" s="250"/>
      <c r="C500" s="251"/>
      <c r="D500" s="24">
        <v>20</v>
      </c>
      <c r="E500" s="24" t="s">
        <v>79</v>
      </c>
      <c r="F500" s="25">
        <v>1.52</v>
      </c>
      <c r="G500" s="25">
        <v>0.16</v>
      </c>
      <c r="H500" s="25">
        <v>9.84</v>
      </c>
      <c r="I500" s="29">
        <v>46.88</v>
      </c>
      <c r="J500" s="25">
        <v>0</v>
      </c>
    </row>
    <row r="501" spans="1:10" ht="24" customHeight="1" x14ac:dyDescent="0.25">
      <c r="A501" s="249" t="s">
        <v>38</v>
      </c>
      <c r="B501" s="250"/>
      <c r="C501" s="251"/>
      <c r="D501" s="33">
        <v>15</v>
      </c>
      <c r="E501" s="33" t="s">
        <v>77</v>
      </c>
      <c r="F501" s="13">
        <v>1.1499999999999999</v>
      </c>
      <c r="G501" s="13">
        <v>1.65</v>
      </c>
      <c r="H501" s="13">
        <v>10.65</v>
      </c>
      <c r="I501" s="11">
        <v>62.12</v>
      </c>
      <c r="J501" s="10">
        <v>0</v>
      </c>
    </row>
    <row r="502" spans="1:10" x14ac:dyDescent="0.25">
      <c r="A502" s="249" t="s">
        <v>285</v>
      </c>
      <c r="B502" s="250"/>
      <c r="C502" s="251"/>
      <c r="D502" s="10" t="s">
        <v>266</v>
      </c>
      <c r="E502" s="10">
        <v>251</v>
      </c>
      <c r="F502" s="13">
        <v>4.5199999999999996</v>
      </c>
      <c r="G502" s="13">
        <v>4.99</v>
      </c>
      <c r="H502" s="13">
        <f>6.24+2.99</f>
        <v>9.23</v>
      </c>
      <c r="I502" s="11">
        <f>87.98+11.98</f>
        <v>99.960000000000008</v>
      </c>
      <c r="J502" s="8">
        <v>1.0900000000000001</v>
      </c>
    </row>
    <row r="503" spans="1:10" ht="24" customHeight="1" x14ac:dyDescent="0.25">
      <c r="A503" s="243" t="s">
        <v>12</v>
      </c>
      <c r="B503" s="244"/>
      <c r="C503" s="245"/>
      <c r="D503" s="6">
        <f>153+D501+D500+D499+D498</f>
        <v>403</v>
      </c>
      <c r="E503" s="6"/>
      <c r="F503" s="133">
        <f>SUM(F498:F502)</f>
        <v>20.170000000000002</v>
      </c>
      <c r="G503" s="133">
        <f t="shared" ref="G503:J503" si="37">SUM(G498:G502)</f>
        <v>25.449999999999996</v>
      </c>
      <c r="H503" s="133">
        <f t="shared" si="37"/>
        <v>42.89</v>
      </c>
      <c r="I503" s="133">
        <f t="shared" si="37"/>
        <v>481.46000000000004</v>
      </c>
      <c r="J503" s="133">
        <f t="shared" si="37"/>
        <v>8.75</v>
      </c>
    </row>
    <row r="504" spans="1:10" ht="35.25" customHeight="1" x14ac:dyDescent="0.25">
      <c r="A504" s="243" t="s">
        <v>14</v>
      </c>
      <c r="B504" s="244"/>
      <c r="C504" s="245"/>
      <c r="D504" s="6"/>
      <c r="E504" s="6"/>
      <c r="F504" s="133">
        <f>F485+F488+F496+F503</f>
        <v>56.02</v>
      </c>
      <c r="G504" s="133">
        <f>G485+G488+G496+G503</f>
        <v>62.44</v>
      </c>
      <c r="H504" s="133">
        <f>H485+H488+H496+H503</f>
        <v>185.25</v>
      </c>
      <c r="I504" s="9">
        <f>I485+I488+I496+I503</f>
        <v>1568.84</v>
      </c>
      <c r="J504" s="133">
        <f>J485+J488+J496+J503</f>
        <v>147.97999999999999</v>
      </c>
    </row>
    <row r="505" spans="1:10" ht="49.5" customHeight="1" x14ac:dyDescent="0.25">
      <c r="A505" s="269" t="s">
        <v>0</v>
      </c>
      <c r="B505" s="269"/>
      <c r="C505" s="269"/>
      <c r="D505" s="6" t="s">
        <v>1</v>
      </c>
      <c r="E505" s="6" t="s">
        <v>2</v>
      </c>
      <c r="F505" s="133" t="s">
        <v>3</v>
      </c>
      <c r="G505" s="133" t="s">
        <v>4</v>
      </c>
      <c r="H505" s="133" t="s">
        <v>28</v>
      </c>
      <c r="I505" s="157" t="s">
        <v>75</v>
      </c>
      <c r="J505" s="140" t="s">
        <v>83</v>
      </c>
    </row>
    <row r="506" spans="1:10" ht="13.15" customHeight="1" x14ac:dyDescent="0.25">
      <c r="A506" s="269" t="s">
        <v>222</v>
      </c>
      <c r="B506" s="269"/>
      <c r="C506" s="269"/>
      <c r="D506" s="269"/>
      <c r="E506" s="269"/>
      <c r="F506" s="269"/>
      <c r="G506" s="269"/>
      <c r="H506" s="269"/>
      <c r="I506" s="269"/>
      <c r="J506" s="269"/>
    </row>
    <row r="507" spans="1:10" x14ac:dyDescent="0.25">
      <c r="A507" s="269" t="s">
        <v>18</v>
      </c>
      <c r="B507" s="269"/>
      <c r="C507" s="269"/>
      <c r="D507" s="269"/>
      <c r="E507" s="269"/>
      <c r="F507" s="269"/>
      <c r="G507" s="269"/>
      <c r="H507" s="269"/>
      <c r="I507" s="269"/>
      <c r="J507" s="269"/>
    </row>
    <row r="508" spans="1:10" x14ac:dyDescent="0.25">
      <c r="A508" s="269" t="s">
        <v>9</v>
      </c>
      <c r="B508" s="269"/>
      <c r="C508" s="269"/>
      <c r="D508" s="269"/>
      <c r="E508" s="269"/>
      <c r="F508" s="269"/>
      <c r="G508" s="269"/>
      <c r="H508" s="269"/>
      <c r="I508" s="269"/>
      <c r="J508" s="269"/>
    </row>
    <row r="509" spans="1:10" ht="30" customHeight="1" x14ac:dyDescent="0.25">
      <c r="A509" s="280" t="s">
        <v>182</v>
      </c>
      <c r="B509" s="280"/>
      <c r="C509" s="280"/>
      <c r="D509" s="24" t="s">
        <v>69</v>
      </c>
      <c r="E509" s="24">
        <v>93.200500000000005</v>
      </c>
      <c r="F509" s="25">
        <v>4.8099999999999996</v>
      </c>
      <c r="G509" s="25">
        <v>6.14</v>
      </c>
      <c r="H509" s="25">
        <v>19.239999999999998</v>
      </c>
      <c r="I509" s="29">
        <v>152.06</v>
      </c>
      <c r="J509" s="25">
        <v>1.4</v>
      </c>
    </row>
    <row r="510" spans="1:10" ht="15" customHeight="1" x14ac:dyDescent="0.25">
      <c r="A510" s="252" t="s">
        <v>73</v>
      </c>
      <c r="B510" s="252"/>
      <c r="C510" s="252"/>
      <c r="D510" s="12">
        <v>180</v>
      </c>
      <c r="E510" s="10" t="s">
        <v>199</v>
      </c>
      <c r="F510" s="25">
        <v>0</v>
      </c>
      <c r="G510" s="25">
        <v>0</v>
      </c>
      <c r="H510" s="25">
        <v>10</v>
      </c>
      <c r="I510" s="25">
        <v>40</v>
      </c>
      <c r="J510" s="25">
        <v>0</v>
      </c>
    </row>
    <row r="511" spans="1:10" ht="15" customHeight="1" x14ac:dyDescent="0.25">
      <c r="A511" s="294" t="s">
        <v>315</v>
      </c>
      <c r="B511" s="294"/>
      <c r="C511" s="294"/>
      <c r="D511" s="135" t="s">
        <v>344</v>
      </c>
      <c r="E511" s="10" t="s">
        <v>143</v>
      </c>
      <c r="F511" s="13">
        <v>1.53</v>
      </c>
      <c r="G511" s="13">
        <v>3.48</v>
      </c>
      <c r="H511" s="13">
        <v>1.1499999999999999</v>
      </c>
      <c r="I511" s="11">
        <v>79.040000000000006</v>
      </c>
      <c r="J511" s="25">
        <v>0</v>
      </c>
    </row>
    <row r="512" spans="1:10" x14ac:dyDescent="0.25">
      <c r="A512" s="243" t="s">
        <v>12</v>
      </c>
      <c r="B512" s="244"/>
      <c r="C512" s="245"/>
      <c r="D512" s="10">
        <f>154+D510+24</f>
        <v>358</v>
      </c>
      <c r="E512" s="10"/>
      <c r="F512" s="133">
        <f>SUM(F509:F511)</f>
        <v>6.34</v>
      </c>
      <c r="G512" s="133">
        <f t="shared" ref="G512" si="38">SUM(G509:G511)</f>
        <v>9.6199999999999992</v>
      </c>
      <c r="H512" s="133">
        <f>SUM(H509:H511)</f>
        <v>30.389999999999997</v>
      </c>
      <c r="I512" s="9">
        <f>SUM(I509:I511)</f>
        <v>271.10000000000002</v>
      </c>
      <c r="J512" s="10">
        <f>SUM(J509:J511)</f>
        <v>1.4</v>
      </c>
    </row>
    <row r="513" spans="1:10" x14ac:dyDescent="0.25">
      <c r="A513" s="269" t="s">
        <v>8</v>
      </c>
      <c r="B513" s="269"/>
      <c r="C513" s="269"/>
      <c r="D513" s="269"/>
      <c r="E513" s="269"/>
      <c r="F513" s="269"/>
      <c r="G513" s="269"/>
      <c r="H513" s="269"/>
      <c r="I513" s="269"/>
      <c r="J513" s="6"/>
    </row>
    <row r="514" spans="1:10" ht="14.45" customHeight="1" x14ac:dyDescent="0.25">
      <c r="A514" s="249" t="s">
        <v>38</v>
      </c>
      <c r="B514" s="250"/>
      <c r="C514" s="251"/>
      <c r="D514" s="33">
        <v>10</v>
      </c>
      <c r="E514" s="33" t="s">
        <v>77</v>
      </c>
      <c r="F514" s="33">
        <v>0.77</v>
      </c>
      <c r="G514" s="33">
        <v>1.1000000000000001</v>
      </c>
      <c r="H514" s="33">
        <v>7.1</v>
      </c>
      <c r="I514" s="33">
        <v>41.41</v>
      </c>
      <c r="J514" s="25">
        <v>0</v>
      </c>
    </row>
    <row r="515" spans="1:10" ht="14.45" customHeight="1" x14ac:dyDescent="0.25">
      <c r="A515" s="249" t="s">
        <v>24</v>
      </c>
      <c r="B515" s="250"/>
      <c r="C515" s="251"/>
      <c r="D515" s="24">
        <v>180</v>
      </c>
      <c r="E515" s="24" t="s">
        <v>245</v>
      </c>
      <c r="F515" s="25">
        <v>0.9</v>
      </c>
      <c r="G515" s="25">
        <v>0.18</v>
      </c>
      <c r="H515" s="25">
        <v>18.18</v>
      </c>
      <c r="I515" s="25">
        <v>77.94</v>
      </c>
      <c r="J515" s="25">
        <v>3.6</v>
      </c>
    </row>
    <row r="516" spans="1:10" x14ac:dyDescent="0.25">
      <c r="A516" s="243" t="s">
        <v>12</v>
      </c>
      <c r="B516" s="244"/>
      <c r="C516" s="245"/>
      <c r="D516" s="10">
        <f>SUM(D514:D515)</f>
        <v>190</v>
      </c>
      <c r="E516" s="10"/>
      <c r="F516" s="133">
        <f>SUM(F514:F515)</f>
        <v>1.67</v>
      </c>
      <c r="G516" s="133">
        <f t="shared" ref="G516:J516" si="39">SUM(G514:G515)</f>
        <v>1.28</v>
      </c>
      <c r="H516" s="133">
        <f t="shared" si="39"/>
        <v>25.28</v>
      </c>
      <c r="I516" s="133">
        <f t="shared" si="39"/>
        <v>119.35</v>
      </c>
      <c r="J516" s="133">
        <f t="shared" si="39"/>
        <v>3.6</v>
      </c>
    </row>
    <row r="517" spans="1:10" ht="15.75" customHeight="1" x14ac:dyDescent="0.25">
      <c r="A517" s="269" t="s">
        <v>11</v>
      </c>
      <c r="B517" s="269"/>
      <c r="C517" s="269"/>
      <c r="D517" s="269"/>
      <c r="E517" s="269"/>
      <c r="F517" s="269"/>
      <c r="G517" s="269"/>
      <c r="H517" s="269"/>
      <c r="I517" s="269"/>
      <c r="J517" s="10"/>
    </row>
    <row r="518" spans="1:10" ht="27.75" customHeight="1" x14ac:dyDescent="0.25">
      <c r="A518" s="280" t="s">
        <v>42</v>
      </c>
      <c r="B518" s="280"/>
      <c r="C518" s="280"/>
      <c r="D518" s="10">
        <v>45</v>
      </c>
      <c r="E518" s="10">
        <v>15</v>
      </c>
      <c r="F518" s="13">
        <f>0.5/60*45</f>
        <v>0.375</v>
      </c>
      <c r="G518" s="13">
        <f>3.1/60*45</f>
        <v>2.3250000000000002</v>
      </c>
      <c r="H518" s="13">
        <f>1.7/60*45</f>
        <v>1.2749999999999999</v>
      </c>
      <c r="I518" s="13">
        <f>36/60*45</f>
        <v>27</v>
      </c>
      <c r="J518" s="10">
        <f>4.7/60*45</f>
        <v>3.5250000000000004</v>
      </c>
    </row>
    <row r="519" spans="1:10" ht="30" customHeight="1" x14ac:dyDescent="0.25">
      <c r="A519" s="298" t="s">
        <v>339</v>
      </c>
      <c r="B519" s="299"/>
      <c r="C519" s="300"/>
      <c r="D519" s="10">
        <v>45</v>
      </c>
      <c r="E519" s="10">
        <v>135</v>
      </c>
      <c r="F519" s="13">
        <v>0.64</v>
      </c>
      <c r="G519" s="13">
        <v>2.29</v>
      </c>
      <c r="H519" s="13">
        <v>5.98</v>
      </c>
      <c r="I519" s="13">
        <v>47.06</v>
      </c>
      <c r="J519" s="25">
        <v>4.24</v>
      </c>
    </row>
    <row r="520" spans="1:10" ht="16.149999999999999" customHeight="1" x14ac:dyDescent="0.25">
      <c r="A520" s="298" t="s">
        <v>148</v>
      </c>
      <c r="B520" s="299"/>
      <c r="C520" s="300"/>
      <c r="D520" s="12" t="s">
        <v>270</v>
      </c>
      <c r="E520" s="10">
        <v>56.200499999999998</v>
      </c>
      <c r="F520" s="13">
        <v>1.78</v>
      </c>
      <c r="G520" s="13">
        <v>6.75</v>
      </c>
      <c r="H520" s="13">
        <v>8.44</v>
      </c>
      <c r="I520" s="11">
        <v>95.06</v>
      </c>
      <c r="J520" s="25">
        <v>44.4</v>
      </c>
    </row>
    <row r="521" spans="1:10" x14ac:dyDescent="0.25">
      <c r="A521" s="249" t="s">
        <v>230</v>
      </c>
      <c r="B521" s="250"/>
      <c r="C521" s="251"/>
      <c r="D521" s="10">
        <v>50</v>
      </c>
      <c r="E521" s="10" t="s">
        <v>278</v>
      </c>
      <c r="F521" s="13">
        <v>8.6199999999999992</v>
      </c>
      <c r="G521" s="13">
        <v>8.4</v>
      </c>
      <c r="H521" s="13">
        <v>4.47</v>
      </c>
      <c r="I521" s="11">
        <v>126.45</v>
      </c>
      <c r="J521" s="10">
        <v>1.1599999999999999</v>
      </c>
    </row>
    <row r="522" spans="1:10" x14ac:dyDescent="0.25">
      <c r="A522" s="15" t="s">
        <v>108</v>
      </c>
      <c r="B522" s="15"/>
      <c r="C522" s="15"/>
      <c r="D522" s="10">
        <v>100</v>
      </c>
      <c r="E522" s="10">
        <v>510.2004</v>
      </c>
      <c r="F522" s="13">
        <v>3.08</v>
      </c>
      <c r="G522" s="13">
        <v>3.34</v>
      </c>
      <c r="H522" s="13">
        <v>13.87</v>
      </c>
      <c r="I522" s="11">
        <v>97.79</v>
      </c>
      <c r="J522" s="14">
        <v>0</v>
      </c>
    </row>
    <row r="523" spans="1:10" x14ac:dyDescent="0.25">
      <c r="A523" s="295" t="s">
        <v>323</v>
      </c>
      <c r="B523" s="296"/>
      <c r="C523" s="297"/>
      <c r="D523" s="24">
        <v>150</v>
      </c>
      <c r="E523" s="24">
        <v>394.16</v>
      </c>
      <c r="F523" s="25">
        <v>0.52</v>
      </c>
      <c r="G523" s="25">
        <v>0.03</v>
      </c>
      <c r="H523" s="25">
        <v>15.08</v>
      </c>
      <c r="I523" s="29">
        <v>62.67</v>
      </c>
      <c r="J523" s="25">
        <v>0.4</v>
      </c>
    </row>
    <row r="524" spans="1:10" x14ac:dyDescent="0.25">
      <c r="A524" s="136" t="s">
        <v>23</v>
      </c>
      <c r="B524" s="137"/>
      <c r="C524" s="138"/>
      <c r="D524" s="10">
        <v>36</v>
      </c>
      <c r="E524" s="10" t="s">
        <v>80</v>
      </c>
      <c r="F524" s="13">
        <v>2.2000000000000002</v>
      </c>
      <c r="G524" s="13">
        <v>0.43</v>
      </c>
      <c r="H524" s="13">
        <v>14.36</v>
      </c>
      <c r="I524" s="11">
        <v>70</v>
      </c>
      <c r="J524" s="25">
        <v>0</v>
      </c>
    </row>
    <row r="525" spans="1:10" x14ac:dyDescent="0.25">
      <c r="A525" s="249" t="s">
        <v>13</v>
      </c>
      <c r="B525" s="250"/>
      <c r="C525" s="251"/>
      <c r="D525" s="10">
        <v>10</v>
      </c>
      <c r="E525" s="10" t="s">
        <v>81</v>
      </c>
      <c r="F525" s="13">
        <v>0.76</v>
      </c>
      <c r="G525" s="13">
        <v>0.08</v>
      </c>
      <c r="H525" s="13">
        <v>4.92</v>
      </c>
      <c r="I525" s="11">
        <v>23.44</v>
      </c>
      <c r="J525" s="25">
        <v>0</v>
      </c>
    </row>
    <row r="526" spans="1:10" x14ac:dyDescent="0.25">
      <c r="A526" s="243" t="s">
        <v>12</v>
      </c>
      <c r="B526" s="244"/>
      <c r="C526" s="245"/>
      <c r="D526" s="10">
        <f>D519+215+D521+D522+D523+D524+D525</f>
        <v>606</v>
      </c>
      <c r="E526" s="10"/>
      <c r="F526" s="133">
        <f>SUM(F519:F525)</f>
        <v>17.600000000000001</v>
      </c>
      <c r="G526" s="133">
        <f t="shared" ref="G526:J526" si="40">SUM(G519:G525)</f>
        <v>21.319999999999997</v>
      </c>
      <c r="H526" s="133">
        <f t="shared" si="40"/>
        <v>67.11999999999999</v>
      </c>
      <c r="I526" s="133">
        <f t="shared" si="40"/>
        <v>522.47</v>
      </c>
      <c r="J526" s="133">
        <f t="shared" si="40"/>
        <v>50.199999999999996</v>
      </c>
    </row>
    <row r="527" spans="1:10" ht="12.6" customHeight="1" x14ac:dyDescent="0.25">
      <c r="A527" s="269" t="s">
        <v>37</v>
      </c>
      <c r="B527" s="269"/>
      <c r="C527" s="269"/>
      <c r="D527" s="269"/>
      <c r="E527" s="269"/>
      <c r="F527" s="269"/>
      <c r="G527" s="269"/>
      <c r="H527" s="269"/>
      <c r="I527" s="269"/>
      <c r="J527" s="13"/>
    </row>
    <row r="528" spans="1:10" ht="14.45" customHeight="1" x14ac:dyDescent="0.25">
      <c r="A528" s="266" t="s">
        <v>312</v>
      </c>
      <c r="B528" s="266"/>
      <c r="C528" s="266"/>
      <c r="D528" s="32" t="s">
        <v>349</v>
      </c>
      <c r="E528" s="24">
        <v>117.224</v>
      </c>
      <c r="F528" s="11">
        <f>24.45+0.57</f>
        <v>25.02</v>
      </c>
      <c r="G528" s="11">
        <f>10.13+1.26</f>
        <v>11.39</v>
      </c>
      <c r="H528" s="11">
        <f>17.39+3.59</f>
        <v>20.98</v>
      </c>
      <c r="I528" s="11">
        <f>257.12+28.01</f>
        <v>285.13</v>
      </c>
      <c r="J528" s="25">
        <f>3.49+0.2</f>
        <v>3.6900000000000004</v>
      </c>
    </row>
    <row r="529" spans="1:10" x14ac:dyDescent="0.25">
      <c r="A529" s="17" t="s">
        <v>259</v>
      </c>
      <c r="B529" s="17"/>
      <c r="C529" s="17"/>
      <c r="D529" s="10">
        <v>110</v>
      </c>
      <c r="E529" s="10" t="s">
        <v>77</v>
      </c>
      <c r="F529" s="13">
        <v>0.44</v>
      </c>
      <c r="G529" s="13">
        <v>0.44</v>
      </c>
      <c r="H529" s="13">
        <v>10.78</v>
      </c>
      <c r="I529" s="11">
        <v>48.84</v>
      </c>
      <c r="J529" s="10">
        <v>11</v>
      </c>
    </row>
    <row r="530" spans="1:10" ht="12.75" customHeight="1" x14ac:dyDescent="0.25">
      <c r="A530" s="249" t="s">
        <v>285</v>
      </c>
      <c r="B530" s="250"/>
      <c r="C530" s="251"/>
      <c r="D530" s="10" t="s">
        <v>266</v>
      </c>
      <c r="E530" s="10">
        <v>251</v>
      </c>
      <c r="F530" s="13">
        <v>4.5199999999999996</v>
      </c>
      <c r="G530" s="13">
        <v>4.99</v>
      </c>
      <c r="H530" s="13">
        <f>6.24+2.99</f>
        <v>9.23</v>
      </c>
      <c r="I530" s="11">
        <f>87.98+11.98</f>
        <v>99.960000000000008</v>
      </c>
      <c r="J530" s="8">
        <v>1.0900000000000001</v>
      </c>
    </row>
    <row r="531" spans="1:10" ht="15" customHeight="1" x14ac:dyDescent="0.25">
      <c r="A531" s="249" t="s">
        <v>13</v>
      </c>
      <c r="B531" s="250"/>
      <c r="C531" s="251"/>
      <c r="D531" s="10">
        <v>10</v>
      </c>
      <c r="E531" s="10" t="s">
        <v>81</v>
      </c>
      <c r="F531" s="13">
        <v>0.76</v>
      </c>
      <c r="G531" s="13">
        <v>0.08</v>
      </c>
      <c r="H531" s="13">
        <v>4.92</v>
      </c>
      <c r="I531" s="11">
        <v>23.44</v>
      </c>
      <c r="J531" s="25">
        <v>0</v>
      </c>
    </row>
    <row r="532" spans="1:10" ht="15" customHeight="1" x14ac:dyDescent="0.25">
      <c r="A532" s="243" t="s">
        <v>12</v>
      </c>
      <c r="B532" s="244"/>
      <c r="C532" s="245"/>
      <c r="D532" s="6">
        <f>D531+D529+120+15+153</f>
        <v>408</v>
      </c>
      <c r="E532" s="6"/>
      <c r="F532" s="133">
        <f>SUM(F528:F531)</f>
        <v>30.740000000000002</v>
      </c>
      <c r="G532" s="133">
        <f t="shared" ref="G532:J532" si="41">SUM(G528:G531)</f>
        <v>16.899999999999999</v>
      </c>
      <c r="H532" s="133">
        <f t="shared" si="41"/>
        <v>45.91</v>
      </c>
      <c r="I532" s="133">
        <f t="shared" si="41"/>
        <v>457.37000000000006</v>
      </c>
      <c r="J532" s="133">
        <f t="shared" si="41"/>
        <v>15.780000000000001</v>
      </c>
    </row>
    <row r="533" spans="1:10" ht="42.75" customHeight="1" thickBot="1" x14ac:dyDescent="0.3">
      <c r="A533" s="142" t="s">
        <v>14</v>
      </c>
      <c r="B533" s="143"/>
      <c r="C533" s="143"/>
      <c r="D533" s="144"/>
      <c r="E533" s="145"/>
      <c r="F533" s="146">
        <f>F512+F516+F526+F532</f>
        <v>56.35</v>
      </c>
      <c r="G533" s="150">
        <f>G512+G516+G526+G532</f>
        <v>49.12</v>
      </c>
      <c r="H533" s="151">
        <f>H512+H516+H526+H532</f>
        <v>168.7</v>
      </c>
      <c r="I533" s="9">
        <f>I512+I516+I526+I532</f>
        <v>1370.2900000000002</v>
      </c>
      <c r="J533" s="141">
        <f>J532+J526+J516+J512</f>
        <v>70.97999999999999</v>
      </c>
    </row>
    <row r="534" spans="1:10" ht="38.25" x14ac:dyDescent="0.25">
      <c r="A534" s="269" t="s">
        <v>0</v>
      </c>
      <c r="B534" s="269"/>
      <c r="C534" s="269"/>
      <c r="D534" s="6" t="s">
        <v>1</v>
      </c>
      <c r="E534" s="6" t="s">
        <v>2</v>
      </c>
      <c r="F534" s="133" t="s">
        <v>3</v>
      </c>
      <c r="G534" s="133" t="s">
        <v>4</v>
      </c>
      <c r="H534" s="133" t="s">
        <v>28</v>
      </c>
      <c r="I534" s="157" t="s">
        <v>75</v>
      </c>
      <c r="J534" s="6" t="s">
        <v>76</v>
      </c>
    </row>
    <row r="535" spans="1:10" x14ac:dyDescent="0.25">
      <c r="A535" s="269" t="s">
        <v>222</v>
      </c>
      <c r="B535" s="269"/>
      <c r="C535" s="269"/>
      <c r="D535" s="269"/>
      <c r="E535" s="269"/>
      <c r="F535" s="269"/>
      <c r="G535" s="269"/>
      <c r="H535" s="269"/>
      <c r="I535" s="269"/>
      <c r="J535" s="269"/>
    </row>
    <row r="536" spans="1:10" x14ac:dyDescent="0.25">
      <c r="A536" s="269" t="s">
        <v>20</v>
      </c>
      <c r="B536" s="269"/>
      <c r="C536" s="269"/>
      <c r="D536" s="269"/>
      <c r="E536" s="269"/>
      <c r="F536" s="269"/>
      <c r="G536" s="269"/>
      <c r="H536" s="269"/>
      <c r="I536" s="269"/>
      <c r="J536" s="269"/>
    </row>
    <row r="537" spans="1:10" x14ac:dyDescent="0.25">
      <c r="A537" s="269" t="s">
        <v>9</v>
      </c>
      <c r="B537" s="269"/>
      <c r="C537" s="269"/>
      <c r="D537" s="269"/>
      <c r="E537" s="269"/>
      <c r="F537" s="269"/>
      <c r="G537" s="269"/>
      <c r="H537" s="269"/>
      <c r="I537" s="269"/>
      <c r="J537" s="269"/>
    </row>
    <row r="538" spans="1:10" ht="32.25" customHeight="1" x14ac:dyDescent="0.25">
      <c r="A538" s="280" t="s">
        <v>340</v>
      </c>
      <c r="B538" s="280"/>
      <c r="C538" s="280"/>
      <c r="D538" s="24" t="s">
        <v>69</v>
      </c>
      <c r="E538" s="24">
        <v>99.200500000000005</v>
      </c>
      <c r="F538" s="25">
        <v>4.1100000000000003</v>
      </c>
      <c r="G538" s="25">
        <v>5.03</v>
      </c>
      <c r="H538" s="25">
        <v>19.82</v>
      </c>
      <c r="I538" s="29">
        <v>141.44</v>
      </c>
      <c r="J538" s="25">
        <v>0.98</v>
      </c>
    </row>
    <row r="539" spans="1:10" x14ac:dyDescent="0.25">
      <c r="A539" s="249" t="s">
        <v>22</v>
      </c>
      <c r="B539" s="250"/>
      <c r="C539" s="251"/>
      <c r="D539" s="10">
        <v>180</v>
      </c>
      <c r="E539" s="10" t="s">
        <v>246</v>
      </c>
      <c r="F539" s="11">
        <v>1.22</v>
      </c>
      <c r="G539" s="11">
        <v>1.05</v>
      </c>
      <c r="H539" s="11">
        <v>12.01</v>
      </c>
      <c r="I539" s="11">
        <v>62.65</v>
      </c>
      <c r="J539" s="10">
        <v>0.55000000000000004</v>
      </c>
    </row>
    <row r="540" spans="1:10" ht="28.5" customHeight="1" x14ac:dyDescent="0.25">
      <c r="A540" s="298" t="s">
        <v>314</v>
      </c>
      <c r="B540" s="299"/>
      <c r="C540" s="300"/>
      <c r="D540" s="135" t="s">
        <v>260</v>
      </c>
      <c r="E540" s="10" t="s">
        <v>144</v>
      </c>
      <c r="F540" s="13">
        <v>3.51</v>
      </c>
      <c r="G540" s="13">
        <v>6.21</v>
      </c>
      <c r="H540" s="13">
        <v>10.17</v>
      </c>
      <c r="I540" s="11">
        <v>111.5</v>
      </c>
      <c r="J540" s="14">
        <v>0.05</v>
      </c>
    </row>
    <row r="541" spans="1:10" ht="15" customHeight="1" x14ac:dyDescent="0.25">
      <c r="A541" s="243" t="s">
        <v>12</v>
      </c>
      <c r="B541" s="244"/>
      <c r="C541" s="245"/>
      <c r="D541" s="10">
        <f>154+D539+20+7+5.5</f>
        <v>366.5</v>
      </c>
      <c r="E541" s="10"/>
      <c r="F541" s="133">
        <f>SUM(F538:F540)</f>
        <v>8.84</v>
      </c>
      <c r="G541" s="133">
        <f t="shared" ref="G541:J541" si="42">SUM(G538:G540)</f>
        <v>12.29</v>
      </c>
      <c r="H541" s="133">
        <f t="shared" si="42"/>
        <v>42</v>
      </c>
      <c r="I541" s="133">
        <f t="shared" si="42"/>
        <v>315.59000000000003</v>
      </c>
      <c r="J541" s="133">
        <f t="shared" si="42"/>
        <v>1.58</v>
      </c>
    </row>
    <row r="542" spans="1:10" ht="15" customHeight="1" x14ac:dyDescent="0.25">
      <c r="A542" s="269" t="s">
        <v>8</v>
      </c>
      <c r="B542" s="269"/>
      <c r="C542" s="269"/>
      <c r="D542" s="269"/>
      <c r="E542" s="269"/>
      <c r="F542" s="269"/>
      <c r="G542" s="269"/>
      <c r="H542" s="269"/>
      <c r="I542" s="269"/>
      <c r="J542" s="6"/>
    </row>
    <row r="543" spans="1:10" x14ac:dyDescent="0.25">
      <c r="A543" s="249" t="s">
        <v>38</v>
      </c>
      <c r="B543" s="250"/>
      <c r="C543" s="251"/>
      <c r="D543" s="33">
        <v>10</v>
      </c>
      <c r="E543" s="33" t="s">
        <v>77</v>
      </c>
      <c r="F543" s="33">
        <v>0.77</v>
      </c>
      <c r="G543" s="33">
        <v>1.1000000000000001</v>
      </c>
      <c r="H543" s="33">
        <v>7.1</v>
      </c>
      <c r="I543" s="33">
        <v>41.41</v>
      </c>
      <c r="J543" s="25">
        <v>0</v>
      </c>
    </row>
    <row r="544" spans="1:10" x14ac:dyDescent="0.25">
      <c r="A544" s="249" t="s">
        <v>24</v>
      </c>
      <c r="B544" s="250"/>
      <c r="C544" s="251"/>
      <c r="D544" s="24">
        <v>180</v>
      </c>
      <c r="E544" s="24" t="s">
        <v>245</v>
      </c>
      <c r="F544" s="25">
        <v>0.9</v>
      </c>
      <c r="G544" s="25">
        <v>0.18</v>
      </c>
      <c r="H544" s="25">
        <v>18.18</v>
      </c>
      <c r="I544" s="25">
        <v>77.94</v>
      </c>
      <c r="J544" s="25">
        <v>3.6</v>
      </c>
    </row>
    <row r="545" spans="1:10" x14ac:dyDescent="0.25">
      <c r="A545" s="243" t="s">
        <v>12</v>
      </c>
      <c r="B545" s="244"/>
      <c r="C545" s="245"/>
      <c r="D545" s="10">
        <f>SUM(D543:D544)</f>
        <v>190</v>
      </c>
      <c r="E545" s="10"/>
      <c r="F545" s="133">
        <f>SUM(F543:F544)</f>
        <v>1.67</v>
      </c>
      <c r="G545" s="133">
        <f>SUM(G543:G544)</f>
        <v>1.28</v>
      </c>
      <c r="H545" s="133">
        <f>SUM(H543:H544)</f>
        <v>25.28</v>
      </c>
      <c r="I545" s="9">
        <f>SUM(I543:I544)</f>
        <v>119.35</v>
      </c>
      <c r="J545" s="10">
        <f>SUM(J543:J544)</f>
        <v>3.6</v>
      </c>
    </row>
    <row r="546" spans="1:10" x14ac:dyDescent="0.25">
      <c r="A546" s="269" t="s">
        <v>11</v>
      </c>
      <c r="B546" s="269"/>
      <c r="C546" s="269"/>
      <c r="D546" s="269"/>
      <c r="E546" s="269"/>
      <c r="F546" s="269"/>
      <c r="G546" s="269"/>
      <c r="H546" s="269"/>
      <c r="I546" s="269"/>
      <c r="J546" s="10"/>
    </row>
    <row r="547" spans="1:10" ht="15" customHeight="1" x14ac:dyDescent="0.25">
      <c r="A547" s="249" t="s">
        <v>319</v>
      </c>
      <c r="B547" s="250"/>
      <c r="C547" s="251"/>
      <c r="D547" s="24">
        <v>45</v>
      </c>
      <c r="E547" s="24">
        <v>10.050000000000001</v>
      </c>
      <c r="F547" s="25">
        <v>0.51</v>
      </c>
      <c r="G547" s="25">
        <v>3.04</v>
      </c>
      <c r="H547" s="25">
        <v>6.38</v>
      </c>
      <c r="I547" s="29">
        <v>54.88</v>
      </c>
      <c r="J547" s="25">
        <v>1.95</v>
      </c>
    </row>
    <row r="548" spans="1:10" ht="18" customHeight="1" x14ac:dyDescent="0.25">
      <c r="A548" s="298" t="s">
        <v>341</v>
      </c>
      <c r="B548" s="299"/>
      <c r="C548" s="300"/>
      <c r="D548" s="10" t="s">
        <v>263</v>
      </c>
      <c r="E548" s="10">
        <v>34.049999999999997</v>
      </c>
      <c r="F548" s="13">
        <v>22.92</v>
      </c>
      <c r="G548" s="13">
        <v>3.31</v>
      </c>
      <c r="H548" s="13">
        <v>13.88</v>
      </c>
      <c r="I548" s="11">
        <v>94.79</v>
      </c>
      <c r="J548" s="10">
        <v>18.93</v>
      </c>
    </row>
    <row r="549" spans="1:10" ht="15" customHeight="1" x14ac:dyDescent="0.25">
      <c r="A549" s="307" t="s">
        <v>231</v>
      </c>
      <c r="B549" s="308"/>
      <c r="C549" s="309"/>
      <c r="D549" s="12">
        <v>60</v>
      </c>
      <c r="E549" s="10">
        <v>135.05000000000001</v>
      </c>
      <c r="F549" s="25">
        <v>7.61</v>
      </c>
      <c r="G549" s="25">
        <v>2.52</v>
      </c>
      <c r="H549" s="25">
        <v>11.3</v>
      </c>
      <c r="I549" s="29">
        <v>99.85</v>
      </c>
      <c r="J549" s="25">
        <v>1.18</v>
      </c>
    </row>
    <row r="550" spans="1:10" ht="29.45" customHeight="1" x14ac:dyDescent="0.25">
      <c r="A550" s="249" t="s">
        <v>16</v>
      </c>
      <c r="B550" s="250"/>
      <c r="C550" s="251"/>
      <c r="D550" s="24">
        <v>100</v>
      </c>
      <c r="E550" s="24">
        <v>206.20050000000001</v>
      </c>
      <c r="F550" s="29">
        <v>2.14</v>
      </c>
      <c r="G550" s="29">
        <v>2.39</v>
      </c>
      <c r="H550" s="29">
        <v>14.44</v>
      </c>
      <c r="I550" s="29">
        <v>87.81</v>
      </c>
      <c r="J550" s="10">
        <v>17</v>
      </c>
    </row>
    <row r="551" spans="1:10" x14ac:dyDescent="0.25">
      <c r="A551" s="15" t="s">
        <v>247</v>
      </c>
      <c r="B551" s="15"/>
      <c r="C551" s="15"/>
      <c r="D551" s="24">
        <v>150</v>
      </c>
      <c r="E551" s="24" t="s">
        <v>234</v>
      </c>
      <c r="F551" s="25">
        <v>0.27</v>
      </c>
      <c r="G551" s="25">
        <v>0.06</v>
      </c>
      <c r="H551" s="25">
        <v>9.99</v>
      </c>
      <c r="I551" s="29">
        <v>70.930000000000007</v>
      </c>
      <c r="J551" s="25">
        <v>0.39</v>
      </c>
    </row>
    <row r="552" spans="1:10" x14ac:dyDescent="0.25">
      <c r="A552" s="136" t="s">
        <v>23</v>
      </c>
      <c r="B552" s="137"/>
      <c r="C552" s="138"/>
      <c r="D552" s="10">
        <v>36</v>
      </c>
      <c r="E552" s="10" t="s">
        <v>80</v>
      </c>
      <c r="F552" s="13">
        <v>2.2000000000000002</v>
      </c>
      <c r="G552" s="13">
        <v>0.43</v>
      </c>
      <c r="H552" s="13">
        <v>14.36</v>
      </c>
      <c r="I552" s="11">
        <v>70</v>
      </c>
      <c r="J552" s="25">
        <v>0</v>
      </c>
    </row>
    <row r="553" spans="1:10" x14ac:dyDescent="0.25">
      <c r="A553" s="249" t="s">
        <v>13</v>
      </c>
      <c r="B553" s="250"/>
      <c r="C553" s="251"/>
      <c r="D553" s="10">
        <v>15</v>
      </c>
      <c r="E553" s="10" t="s">
        <v>81</v>
      </c>
      <c r="F553" s="13">
        <v>1.1399999999999999</v>
      </c>
      <c r="G553" s="13">
        <v>0.12</v>
      </c>
      <c r="H553" s="13">
        <v>7.38</v>
      </c>
      <c r="I553" s="11">
        <v>35.159999999999997</v>
      </c>
      <c r="J553" s="25">
        <v>0</v>
      </c>
    </row>
    <row r="554" spans="1:10" x14ac:dyDescent="0.25">
      <c r="A554" s="243" t="s">
        <v>12</v>
      </c>
      <c r="B554" s="244"/>
      <c r="C554" s="245"/>
      <c r="D554" s="10">
        <f>D553+D552+D551+D550+D549+D547+210</f>
        <v>616</v>
      </c>
      <c r="E554" s="10"/>
      <c r="F554" s="133">
        <f>SUM(F547:F553)</f>
        <v>36.790000000000006</v>
      </c>
      <c r="G554" s="133">
        <f t="shared" ref="G554:J554" si="43">SUM(G547:G553)</f>
        <v>11.87</v>
      </c>
      <c r="H554" s="133">
        <f t="shared" si="43"/>
        <v>77.72999999999999</v>
      </c>
      <c r="I554" s="133">
        <f t="shared" si="43"/>
        <v>513.42000000000007</v>
      </c>
      <c r="J554" s="133">
        <f t="shared" si="43"/>
        <v>39.450000000000003</v>
      </c>
    </row>
    <row r="555" spans="1:10" x14ac:dyDescent="0.25">
      <c r="A555" s="269" t="s">
        <v>37</v>
      </c>
      <c r="B555" s="269"/>
      <c r="C555" s="269"/>
      <c r="D555" s="269"/>
      <c r="E555" s="269"/>
      <c r="F555" s="269"/>
      <c r="G555" s="269"/>
      <c r="H555" s="269"/>
      <c r="I555" s="269"/>
      <c r="J555" s="10"/>
    </row>
    <row r="556" spans="1:10" ht="15" customHeight="1" x14ac:dyDescent="0.25">
      <c r="A556" s="266" t="s">
        <v>19</v>
      </c>
      <c r="B556" s="266"/>
      <c r="C556" s="266"/>
      <c r="D556" s="139">
        <v>80</v>
      </c>
      <c r="E556" s="10">
        <v>200.20050000000001</v>
      </c>
      <c r="F556" s="13">
        <v>1.43</v>
      </c>
      <c r="G556" s="13">
        <v>1.62</v>
      </c>
      <c r="H556" s="13">
        <v>5.17</v>
      </c>
      <c r="I556" s="11">
        <v>41.57</v>
      </c>
      <c r="J556" s="10">
        <v>51.72</v>
      </c>
    </row>
    <row r="557" spans="1:10" ht="15" customHeight="1" x14ac:dyDescent="0.25">
      <c r="A557" s="307" t="s">
        <v>342</v>
      </c>
      <c r="B557" s="308"/>
      <c r="C557" s="309"/>
      <c r="D557" s="26">
        <v>70</v>
      </c>
      <c r="E557" s="24">
        <v>779</v>
      </c>
      <c r="F557" s="25" t="s">
        <v>359</v>
      </c>
      <c r="G557" s="25">
        <v>7.93</v>
      </c>
      <c r="H557" s="25">
        <v>39.75</v>
      </c>
      <c r="I557" s="29">
        <v>254.91</v>
      </c>
      <c r="J557" s="25">
        <v>0.52</v>
      </c>
    </row>
    <row r="558" spans="1:10" ht="19.5" customHeight="1" x14ac:dyDescent="0.25">
      <c r="A558" s="249" t="s">
        <v>74</v>
      </c>
      <c r="B558" s="250"/>
      <c r="C558" s="251"/>
      <c r="D558" s="10">
        <v>10</v>
      </c>
      <c r="E558" s="10" t="s">
        <v>81</v>
      </c>
      <c r="F558" s="13">
        <v>0.76</v>
      </c>
      <c r="G558" s="13">
        <v>0.08</v>
      </c>
      <c r="H558" s="13">
        <v>4.92</v>
      </c>
      <c r="I558" s="11">
        <v>23.44</v>
      </c>
      <c r="J558" s="10">
        <v>0</v>
      </c>
    </row>
    <row r="559" spans="1:10" ht="15.75" customHeight="1" x14ac:dyDescent="0.25">
      <c r="A559" s="249" t="s">
        <v>343</v>
      </c>
      <c r="B559" s="250"/>
      <c r="C559" s="251"/>
      <c r="D559" s="10">
        <v>150</v>
      </c>
      <c r="E559" s="10">
        <v>251</v>
      </c>
      <c r="F559" s="25">
        <v>1</v>
      </c>
      <c r="G559" s="25">
        <v>0.2</v>
      </c>
      <c r="H559" s="25">
        <v>20.2</v>
      </c>
      <c r="I559" s="29">
        <v>86.6</v>
      </c>
      <c r="J559" s="25">
        <v>4</v>
      </c>
    </row>
    <row r="560" spans="1:10" x14ac:dyDescent="0.25">
      <c r="A560" s="250" t="s">
        <v>273</v>
      </c>
      <c r="B560" s="250"/>
      <c r="C560" s="251"/>
      <c r="D560" s="10">
        <v>90</v>
      </c>
      <c r="E560" s="10" t="s">
        <v>77</v>
      </c>
      <c r="F560" s="13">
        <v>0.36</v>
      </c>
      <c r="G560" s="13">
        <v>0.36</v>
      </c>
      <c r="H560" s="13">
        <v>8.82</v>
      </c>
      <c r="I560" s="11">
        <v>39.96</v>
      </c>
      <c r="J560" s="6">
        <v>9</v>
      </c>
    </row>
    <row r="561" spans="1:10" x14ac:dyDescent="0.25">
      <c r="A561" s="243" t="s">
        <v>12</v>
      </c>
      <c r="B561" s="244"/>
      <c r="C561" s="245"/>
      <c r="D561" s="6">
        <f>SUM(D556:D560)</f>
        <v>400</v>
      </c>
      <c r="E561" s="6"/>
      <c r="F561" s="133">
        <f>SUM(F556:F560)</f>
        <v>3.55</v>
      </c>
      <c r="G561" s="133">
        <f t="shared" ref="G561:J561" si="44">SUM(G556:G560)</f>
        <v>10.19</v>
      </c>
      <c r="H561" s="133">
        <f t="shared" si="44"/>
        <v>78.860000000000014</v>
      </c>
      <c r="I561" s="133">
        <f t="shared" si="44"/>
        <v>446.47999999999996</v>
      </c>
      <c r="J561" s="133">
        <f t="shared" si="44"/>
        <v>65.240000000000009</v>
      </c>
    </row>
    <row r="562" spans="1:10" x14ac:dyDescent="0.25">
      <c r="A562" s="243" t="s">
        <v>14</v>
      </c>
      <c r="B562" s="244"/>
      <c r="C562" s="245"/>
      <c r="D562" s="6"/>
      <c r="E562" s="6"/>
      <c r="F562" s="133">
        <f>F541+F545+F554+F561</f>
        <v>50.85</v>
      </c>
      <c r="G562" s="133">
        <f>G541+G545+G554+G561</f>
        <v>35.629999999999995</v>
      </c>
      <c r="H562" s="133">
        <f>H541+H545+H554+H561</f>
        <v>223.87</v>
      </c>
      <c r="I562" s="9">
        <f>I541+I545+I554+I561</f>
        <v>1394.8400000000001</v>
      </c>
      <c r="J562" s="10">
        <f>J541+J545+J554+J561</f>
        <v>109.87</v>
      </c>
    </row>
    <row r="563" spans="1:10" ht="46.5" customHeight="1" x14ac:dyDescent="0.25">
      <c r="A563" s="1" t="s">
        <v>31</v>
      </c>
      <c r="B563" s="1"/>
      <c r="C563" s="1"/>
      <c r="D563" s="1" t="s">
        <v>32</v>
      </c>
      <c r="E563" s="1"/>
      <c r="F563" s="1"/>
      <c r="G563" s="2"/>
      <c r="H563" s="2"/>
      <c r="I563" s="3"/>
      <c r="J563" s="184"/>
    </row>
    <row r="564" spans="1:10" ht="0.75" customHeight="1" x14ac:dyDescent="0.25">
      <c r="A564" s="1" t="s">
        <v>32</v>
      </c>
      <c r="B564" s="1"/>
      <c r="C564" s="1"/>
      <c r="D564" s="2"/>
      <c r="E564" s="2"/>
      <c r="F564" s="3"/>
      <c r="G564" s="3"/>
      <c r="H564" s="3"/>
      <c r="I564" s="3"/>
      <c r="J564" s="184"/>
    </row>
    <row r="565" spans="1:10" ht="17.25" customHeight="1" x14ac:dyDescent="0.25">
      <c r="A565" s="1" t="s">
        <v>33</v>
      </c>
      <c r="B565" s="1"/>
      <c r="C565" s="1"/>
      <c r="D565" s="2"/>
      <c r="E565" s="2"/>
      <c r="F565" s="3"/>
      <c r="G565" s="3"/>
      <c r="H565" s="3"/>
      <c r="I565" s="3"/>
      <c r="J565" s="184"/>
    </row>
    <row r="566" spans="1:10" ht="21" customHeight="1" x14ac:dyDescent="0.25">
      <c r="A566" s="1" t="s">
        <v>369</v>
      </c>
      <c r="B566" s="1"/>
      <c r="C566" s="1"/>
      <c r="D566" s="2"/>
      <c r="E566" s="2"/>
      <c r="F566" s="3"/>
      <c r="G566" s="3"/>
      <c r="H566" s="3"/>
      <c r="I566" s="3"/>
      <c r="J566" s="184"/>
    </row>
    <row r="567" spans="1:10" x14ac:dyDescent="0.25">
      <c r="A567" s="1" t="s">
        <v>35</v>
      </c>
      <c r="B567" s="1"/>
      <c r="C567" s="1"/>
      <c r="D567" s="2"/>
      <c r="E567" s="2"/>
      <c r="F567" s="3"/>
      <c r="G567" s="3"/>
      <c r="H567" s="3"/>
      <c r="I567" s="3"/>
      <c r="J567" s="184"/>
    </row>
    <row r="568" spans="1:10" ht="15" customHeight="1" x14ac:dyDescent="0.25">
      <c r="A568" s="332" t="s">
        <v>370</v>
      </c>
      <c r="B568" s="332"/>
      <c r="C568" s="332"/>
      <c r="D568" s="332"/>
      <c r="E568" s="332"/>
      <c r="F568" s="332"/>
      <c r="G568" s="332"/>
      <c r="H568" s="332"/>
      <c r="I568" s="332"/>
      <c r="J568" s="332"/>
    </row>
    <row r="569" spans="1:10" ht="15" customHeight="1" x14ac:dyDescent="0.25">
      <c r="A569" s="1" t="s">
        <v>371</v>
      </c>
      <c r="B569" s="1"/>
      <c r="C569" s="1"/>
      <c r="D569" s="2"/>
      <c r="E569" s="2"/>
      <c r="F569" s="3"/>
      <c r="G569" s="3"/>
      <c r="H569" s="184"/>
      <c r="I569" s="184"/>
      <c r="J569" s="184"/>
    </row>
    <row r="570" spans="1:10" ht="36" customHeight="1" x14ac:dyDescent="0.25">
      <c r="A570" s="332" t="s">
        <v>372</v>
      </c>
      <c r="B570" s="332"/>
      <c r="C570" s="332"/>
      <c r="D570" s="332"/>
      <c r="E570" s="332"/>
      <c r="F570" s="332"/>
      <c r="G570" s="332"/>
      <c r="H570" s="332"/>
      <c r="I570" s="332"/>
      <c r="J570" s="185"/>
    </row>
    <row r="571" spans="1:10" ht="15" customHeight="1" x14ac:dyDescent="0.25">
      <c r="A571" s="186" t="s">
        <v>373</v>
      </c>
      <c r="B571" s="184"/>
      <c r="C571" s="184"/>
      <c r="D571" s="184"/>
      <c r="E571" s="184"/>
      <c r="F571" s="184"/>
      <c r="G571" s="184"/>
      <c r="H571" s="184"/>
      <c r="I571" s="184"/>
      <c r="J571" s="184"/>
    </row>
    <row r="572" spans="1:10" ht="30.75" customHeight="1" x14ac:dyDescent="0.25">
      <c r="A572" s="184" t="s">
        <v>374</v>
      </c>
      <c r="B572" s="184"/>
      <c r="C572" s="184"/>
      <c r="D572" s="184"/>
      <c r="E572" s="184"/>
      <c r="F572" s="184"/>
      <c r="G572" s="184"/>
      <c r="H572" s="184"/>
      <c r="I572" s="184"/>
      <c r="J572" s="184"/>
    </row>
  </sheetData>
  <mergeCells count="513">
    <mergeCell ref="A513:I513"/>
    <mergeCell ref="A517:I517"/>
    <mergeCell ref="A521:C521"/>
    <mergeCell ref="A525:C525"/>
    <mergeCell ref="A527:I527"/>
    <mergeCell ref="A540:C540"/>
    <mergeCell ref="A536:J536"/>
    <mergeCell ref="A537:J537"/>
    <mergeCell ref="A526:C526"/>
    <mergeCell ref="A516:C516"/>
    <mergeCell ref="A518:C518"/>
    <mergeCell ref="A519:C519"/>
    <mergeCell ref="A514:C514"/>
    <mergeCell ref="A520:C520"/>
    <mergeCell ref="A528:C528"/>
    <mergeCell ref="A298:C298"/>
    <mergeCell ref="A306:C306"/>
    <mergeCell ref="A548:C548"/>
    <mergeCell ref="A543:C543"/>
    <mergeCell ref="A545:C545"/>
    <mergeCell ref="A547:C547"/>
    <mergeCell ref="A463:C463"/>
    <mergeCell ref="A493:C493"/>
    <mergeCell ref="A515:C515"/>
    <mergeCell ref="A523:C523"/>
    <mergeCell ref="A538:C538"/>
    <mergeCell ref="A539:C539"/>
    <mergeCell ref="A541:C541"/>
    <mergeCell ref="A530:C530"/>
    <mergeCell ref="A532:C532"/>
    <mergeCell ref="A535:J535"/>
    <mergeCell ref="A531:C531"/>
    <mergeCell ref="A534:C534"/>
    <mergeCell ref="A322:C322"/>
    <mergeCell ref="A323:C323"/>
    <mergeCell ref="A324:C324"/>
    <mergeCell ref="A357:C357"/>
    <mergeCell ref="A380:C380"/>
    <mergeCell ref="A384:C384"/>
    <mergeCell ref="A509:C509"/>
    <mergeCell ref="A510:C510"/>
    <mergeCell ref="A512:C512"/>
    <mergeCell ref="A501:C501"/>
    <mergeCell ref="A502:C502"/>
    <mergeCell ref="A503:C503"/>
    <mergeCell ref="A506:J506"/>
    <mergeCell ref="A505:C505"/>
    <mergeCell ref="A511:C511"/>
    <mergeCell ref="A504:C504"/>
    <mergeCell ref="A507:J507"/>
    <mergeCell ref="A508:J508"/>
    <mergeCell ref="A496:C496"/>
    <mergeCell ref="A498:C498"/>
    <mergeCell ref="A499:C499"/>
    <mergeCell ref="A500:C500"/>
    <mergeCell ref="A490:C490"/>
    <mergeCell ref="A491:C491"/>
    <mergeCell ref="A489:I489"/>
    <mergeCell ref="A492:C492"/>
    <mergeCell ref="A495:C495"/>
    <mergeCell ref="A497:I497"/>
    <mergeCell ref="A471:I471"/>
    <mergeCell ref="A483:C483"/>
    <mergeCell ref="A485:C485"/>
    <mergeCell ref="A488:C488"/>
    <mergeCell ref="A479:J479"/>
    <mergeCell ref="A482:C482"/>
    <mergeCell ref="A477:C477"/>
    <mergeCell ref="A484:C484"/>
    <mergeCell ref="A487:C487"/>
    <mergeCell ref="A478:C478"/>
    <mergeCell ref="A480:J480"/>
    <mergeCell ref="A481:J481"/>
    <mergeCell ref="A486:I486"/>
    <mergeCell ref="A473:C473"/>
    <mergeCell ref="A474:C474"/>
    <mergeCell ref="A475:C475"/>
    <mergeCell ref="A476:C476"/>
    <mergeCell ref="A472:C472"/>
    <mergeCell ref="A464:C464"/>
    <mergeCell ref="A470:C470"/>
    <mergeCell ref="A457:C457"/>
    <mergeCell ref="A460:C460"/>
    <mergeCell ref="A461:C461"/>
    <mergeCell ref="A451:J451"/>
    <mergeCell ref="A454:C454"/>
    <mergeCell ref="A455:C455"/>
    <mergeCell ref="A450:C450"/>
    <mergeCell ref="A456:C456"/>
    <mergeCell ref="A452:J452"/>
    <mergeCell ref="A453:J453"/>
    <mergeCell ref="A458:I458"/>
    <mergeCell ref="A465:C465"/>
    <mergeCell ref="A466:C466"/>
    <mergeCell ref="A469:C469"/>
    <mergeCell ref="A462:J462"/>
    <mergeCell ref="A459:C459"/>
    <mergeCell ref="A444:C444"/>
    <mergeCell ref="A445:C445"/>
    <mergeCell ref="A447:C447"/>
    <mergeCell ref="A449:C449"/>
    <mergeCell ref="A437:C437"/>
    <mergeCell ref="A439:C439"/>
    <mergeCell ref="A438:C438"/>
    <mergeCell ref="A441:C441"/>
    <mergeCell ref="A448:C448"/>
    <mergeCell ref="A443:I443"/>
    <mergeCell ref="A446:C446"/>
    <mergeCell ref="A435:C435"/>
    <mergeCell ref="A436:C436"/>
    <mergeCell ref="A428:C428"/>
    <mergeCell ref="A429:C429"/>
    <mergeCell ref="A430:C430"/>
    <mergeCell ref="A426:I426"/>
    <mergeCell ref="A425:J425"/>
    <mergeCell ref="A431:I431"/>
    <mergeCell ref="A432:C432"/>
    <mergeCell ref="A434:I434"/>
    <mergeCell ref="A409:C409"/>
    <mergeCell ref="A410:C410"/>
    <mergeCell ref="A419:C419"/>
    <mergeCell ref="A416:C416"/>
    <mergeCell ref="A417:C417"/>
    <mergeCell ref="A418:C418"/>
    <mergeCell ref="A424:J424"/>
    <mergeCell ref="A433:C433"/>
    <mergeCell ref="A396:C396"/>
    <mergeCell ref="A413:C413"/>
    <mergeCell ref="A420:C420"/>
    <mergeCell ref="A421:C421"/>
    <mergeCell ref="A415:J415"/>
    <mergeCell ref="A423:C423"/>
    <mergeCell ref="A427:C427"/>
    <mergeCell ref="A397:J397"/>
    <mergeCell ref="A398:J398"/>
    <mergeCell ref="A399:I399"/>
    <mergeCell ref="A406:C406"/>
    <mergeCell ref="A408:C408"/>
    <mergeCell ref="A400:C400"/>
    <mergeCell ref="A401:C401"/>
    <mergeCell ref="A403:C403"/>
    <mergeCell ref="A405:C405"/>
    <mergeCell ref="A402:C402"/>
    <mergeCell ref="A404:I404"/>
    <mergeCell ref="A407:I407"/>
    <mergeCell ref="A382:C382"/>
    <mergeCell ref="A375:I375"/>
    <mergeCell ref="A379:I379"/>
    <mergeCell ref="A383:C383"/>
    <mergeCell ref="A394:C394"/>
    <mergeCell ref="A387:C387"/>
    <mergeCell ref="A389:C389"/>
    <mergeCell ref="A391:C391"/>
    <mergeCell ref="A392:C392"/>
    <mergeCell ref="A386:C386"/>
    <mergeCell ref="A388:I388"/>
    <mergeCell ref="A393:C393"/>
    <mergeCell ref="A361:I361"/>
    <mergeCell ref="A369:J369"/>
    <mergeCell ref="A370:J370"/>
    <mergeCell ref="A378:C378"/>
    <mergeCell ref="A381:C381"/>
    <mergeCell ref="A371:C371"/>
    <mergeCell ref="A372:C372"/>
    <mergeCell ref="A374:C374"/>
    <mergeCell ref="A376:C376"/>
    <mergeCell ref="A373:C373"/>
    <mergeCell ref="A377:C377"/>
    <mergeCell ref="A365:C365"/>
    <mergeCell ref="A368:J368"/>
    <mergeCell ref="A362:C362"/>
    <mergeCell ref="A363:C363"/>
    <mergeCell ref="A364:C364"/>
    <mergeCell ref="A366:C366"/>
    <mergeCell ref="A367:C367"/>
    <mergeCell ref="A347:C347"/>
    <mergeCell ref="A353:C353"/>
    <mergeCell ref="A354:C354"/>
    <mergeCell ref="A360:C360"/>
    <mergeCell ref="A348:C348"/>
    <mergeCell ref="A350:C350"/>
    <mergeCell ref="A351:C351"/>
    <mergeCell ref="A356:C356"/>
    <mergeCell ref="A359:C359"/>
    <mergeCell ref="A349:I349"/>
    <mergeCell ref="A352:I352"/>
    <mergeCell ref="A355:C355"/>
    <mergeCell ref="A345:C345"/>
    <mergeCell ref="A346:C346"/>
    <mergeCell ref="A336:C336"/>
    <mergeCell ref="A337:C337"/>
    <mergeCell ref="A338:C338"/>
    <mergeCell ref="A339:C339"/>
    <mergeCell ref="A340:C340"/>
    <mergeCell ref="A341:C341"/>
    <mergeCell ref="A343:J343"/>
    <mergeCell ref="A344:J344"/>
    <mergeCell ref="A342:J342"/>
    <mergeCell ref="A300:C300"/>
    <mergeCell ref="A303:C303"/>
    <mergeCell ref="A317:C317"/>
    <mergeCell ref="A318:C318"/>
    <mergeCell ref="A311:C311"/>
    <mergeCell ref="A314:J314"/>
    <mergeCell ref="A299:C299"/>
    <mergeCell ref="A302:C302"/>
    <mergeCell ref="A313:C313"/>
    <mergeCell ref="A229:J229"/>
    <mergeCell ref="A238:C238"/>
    <mergeCell ref="A240:C240"/>
    <mergeCell ref="A241:C241"/>
    <mergeCell ref="A242:C242"/>
    <mergeCell ref="A232:C232"/>
    <mergeCell ref="A233:C233"/>
    <mergeCell ref="A237:C237"/>
    <mergeCell ref="A231:C231"/>
    <mergeCell ref="A230:J230"/>
    <mergeCell ref="A234:C234"/>
    <mergeCell ref="A235:I235"/>
    <mergeCell ref="A224:C224"/>
    <mergeCell ref="A228:J228"/>
    <mergeCell ref="A218:I218"/>
    <mergeCell ref="A219:C219"/>
    <mergeCell ref="A220:C220"/>
    <mergeCell ref="A221:C221"/>
    <mergeCell ref="A222:C222"/>
    <mergeCell ref="A223:C223"/>
    <mergeCell ref="A227:C227"/>
    <mergeCell ref="A209:J209"/>
    <mergeCell ref="A210:C210"/>
    <mergeCell ref="A211:C211"/>
    <mergeCell ref="A212:C212"/>
    <mergeCell ref="A216:C216"/>
    <mergeCell ref="A217:C217"/>
    <mergeCell ref="A204:C204"/>
    <mergeCell ref="A205:I205"/>
    <mergeCell ref="A206:C206"/>
    <mergeCell ref="A207:C207"/>
    <mergeCell ref="A208:I208"/>
    <mergeCell ref="A214:C214"/>
    <mergeCell ref="A198:J198"/>
    <mergeCell ref="A199:J199"/>
    <mergeCell ref="A200:J200"/>
    <mergeCell ref="A201:C201"/>
    <mergeCell ref="A202:C202"/>
    <mergeCell ref="A203:C203"/>
    <mergeCell ref="A192:C192"/>
    <mergeCell ref="A194:C194"/>
    <mergeCell ref="A195:C195"/>
    <mergeCell ref="A196:C196"/>
    <mergeCell ref="A197:C197"/>
    <mergeCell ref="A193:C193"/>
    <mergeCell ref="A183:C183"/>
    <mergeCell ref="A185:C185"/>
    <mergeCell ref="A188:C188"/>
    <mergeCell ref="A189:C189"/>
    <mergeCell ref="A190:I190"/>
    <mergeCell ref="A191:C191"/>
    <mergeCell ref="A177:C177"/>
    <mergeCell ref="A178:I178"/>
    <mergeCell ref="A179:C179"/>
    <mergeCell ref="A180:C180"/>
    <mergeCell ref="A181:I181"/>
    <mergeCell ref="A182:C182"/>
    <mergeCell ref="A184:C184"/>
    <mergeCell ref="A171:J171"/>
    <mergeCell ref="A172:J172"/>
    <mergeCell ref="A173:J173"/>
    <mergeCell ref="A174:C174"/>
    <mergeCell ref="A175:C175"/>
    <mergeCell ref="A176:C176"/>
    <mergeCell ref="A165:C165"/>
    <mergeCell ref="A167:C167"/>
    <mergeCell ref="A168:C168"/>
    <mergeCell ref="A169:C169"/>
    <mergeCell ref="A170:C170"/>
    <mergeCell ref="A166:C166"/>
    <mergeCell ref="A158:C158"/>
    <mergeCell ref="A160:C160"/>
    <mergeCell ref="A161:C161"/>
    <mergeCell ref="A162:I162"/>
    <mergeCell ref="A163:C163"/>
    <mergeCell ref="A164:C164"/>
    <mergeCell ref="A148:I148"/>
    <mergeCell ref="A149:C149"/>
    <mergeCell ref="A151:C151"/>
    <mergeCell ref="A152:I152"/>
    <mergeCell ref="A155:C155"/>
    <mergeCell ref="A156:C156"/>
    <mergeCell ref="A153:C153"/>
    <mergeCell ref="A154:C154"/>
    <mergeCell ref="A157:C157"/>
    <mergeCell ref="A142:J142"/>
    <mergeCell ref="A143:J143"/>
    <mergeCell ref="A144:C144"/>
    <mergeCell ref="A145:C145"/>
    <mergeCell ref="A146:C146"/>
    <mergeCell ref="A147:C147"/>
    <mergeCell ref="A137:C137"/>
    <mergeCell ref="A138:C138"/>
    <mergeCell ref="A139:C139"/>
    <mergeCell ref="A140:C140"/>
    <mergeCell ref="A141:J141"/>
    <mergeCell ref="A131:C131"/>
    <mergeCell ref="A132:I132"/>
    <mergeCell ref="A133:C133"/>
    <mergeCell ref="A135:C135"/>
    <mergeCell ref="A124:C124"/>
    <mergeCell ref="A125:C125"/>
    <mergeCell ref="A126:C126"/>
    <mergeCell ref="A127:C127"/>
    <mergeCell ref="A130:C130"/>
    <mergeCell ref="A119:C119"/>
    <mergeCell ref="A120:I120"/>
    <mergeCell ref="A121:C121"/>
    <mergeCell ref="A122:C122"/>
    <mergeCell ref="A123:I123"/>
    <mergeCell ref="A113:J113"/>
    <mergeCell ref="A114:J114"/>
    <mergeCell ref="A115:J115"/>
    <mergeCell ref="A116:C116"/>
    <mergeCell ref="A117:C117"/>
    <mergeCell ref="A118:C118"/>
    <mergeCell ref="A106:C106"/>
    <mergeCell ref="A107:C107"/>
    <mergeCell ref="A52:C52"/>
    <mergeCell ref="A109:C109"/>
    <mergeCell ref="A110:C110"/>
    <mergeCell ref="A112:C112"/>
    <mergeCell ref="A96:I96"/>
    <mergeCell ref="A98:C98"/>
    <mergeCell ref="A99:C99"/>
    <mergeCell ref="A103:C103"/>
    <mergeCell ref="A104:C104"/>
    <mergeCell ref="A105:I105"/>
    <mergeCell ref="A89:C89"/>
    <mergeCell ref="A90:C90"/>
    <mergeCell ref="A91:I91"/>
    <mergeCell ref="A93:C93"/>
    <mergeCell ref="A95:C95"/>
    <mergeCell ref="A83:C83"/>
    <mergeCell ref="A84:J84"/>
    <mergeCell ref="A85:J85"/>
    <mergeCell ref="A86:J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69:C69"/>
    <mergeCell ref="A70:C70"/>
    <mergeCell ref="A74:C74"/>
    <mergeCell ref="A75:C75"/>
    <mergeCell ref="A76:I76"/>
    <mergeCell ref="A63:C63"/>
    <mergeCell ref="A64:I64"/>
    <mergeCell ref="A65:C65"/>
    <mergeCell ref="A66:C66"/>
    <mergeCell ref="A67:I67"/>
    <mergeCell ref="A56:C56"/>
    <mergeCell ref="A57:J57"/>
    <mergeCell ref="A58:J58"/>
    <mergeCell ref="A59:J59"/>
    <mergeCell ref="A61:C61"/>
    <mergeCell ref="A62:C62"/>
    <mergeCell ref="A26:C26"/>
    <mergeCell ref="A27:C27"/>
    <mergeCell ref="A28:C28"/>
    <mergeCell ref="A29:J29"/>
    <mergeCell ref="A30:J30"/>
    <mergeCell ref="A21:I21"/>
    <mergeCell ref="A22:C22"/>
    <mergeCell ref="A23:C23"/>
    <mergeCell ref="A25:C25"/>
    <mergeCell ref="A37:C37"/>
    <mergeCell ref="A38:C38"/>
    <mergeCell ref="A39:C39"/>
    <mergeCell ref="A40:I40"/>
    <mergeCell ref="A42:C42"/>
    <mergeCell ref="A43:C43"/>
    <mergeCell ref="A31:J31"/>
    <mergeCell ref="A32:C32"/>
    <mergeCell ref="A33:C33"/>
    <mergeCell ref="A34:C34"/>
    <mergeCell ref="A35:C35"/>
    <mergeCell ref="A36:I36"/>
    <mergeCell ref="A15:C15"/>
    <mergeCell ref="A16:C16"/>
    <mergeCell ref="A7:C7"/>
    <mergeCell ref="A8:C8"/>
    <mergeCell ref="A9:I9"/>
    <mergeCell ref="A10:C10"/>
    <mergeCell ref="A11:C11"/>
    <mergeCell ref="A17:C17"/>
    <mergeCell ref="A24:C24"/>
    <mergeCell ref="A1:C1"/>
    <mergeCell ref="A2:J2"/>
    <mergeCell ref="A3:J3"/>
    <mergeCell ref="A4:I4"/>
    <mergeCell ref="A5:C5"/>
    <mergeCell ref="A6:C6"/>
    <mergeCell ref="A12:I12"/>
    <mergeCell ref="A13:C13"/>
    <mergeCell ref="A14:C14"/>
    <mergeCell ref="A243:C243"/>
    <mergeCell ref="A246:C246"/>
    <mergeCell ref="A253:C253"/>
    <mergeCell ref="A41:C41"/>
    <mergeCell ref="A45:C45"/>
    <mergeCell ref="A60:C60"/>
    <mergeCell ref="A71:C71"/>
    <mergeCell ref="A72:C72"/>
    <mergeCell ref="A97:C97"/>
    <mergeCell ref="A101:C101"/>
    <mergeCell ref="A136:C136"/>
    <mergeCell ref="A150:C150"/>
    <mergeCell ref="A108:C108"/>
    <mergeCell ref="A53:C53"/>
    <mergeCell ref="A54:C54"/>
    <mergeCell ref="A55:C55"/>
    <mergeCell ref="A44:C44"/>
    <mergeCell ref="A47:C47"/>
    <mergeCell ref="A48:C48"/>
    <mergeCell ref="A49:I49"/>
    <mergeCell ref="A50:C50"/>
    <mergeCell ref="A51:C51"/>
    <mergeCell ref="A239:I239"/>
    <mergeCell ref="A248:I248"/>
    <mergeCell ref="A333:C333"/>
    <mergeCell ref="A335:C335"/>
    <mergeCell ref="A326:C326"/>
    <mergeCell ref="A327:C327"/>
    <mergeCell ref="A328:C328"/>
    <mergeCell ref="A329:C329"/>
    <mergeCell ref="A332:C332"/>
    <mergeCell ref="A325:I325"/>
    <mergeCell ref="A334:I334"/>
    <mergeCell ref="A267:I267"/>
    <mergeCell ref="A269:C269"/>
    <mergeCell ref="A275:J275"/>
    <mergeCell ref="A270:C270"/>
    <mergeCell ref="A273:C273"/>
    <mergeCell ref="A319:C319"/>
    <mergeCell ref="A316:J316"/>
    <mergeCell ref="A321:I321"/>
    <mergeCell ref="A320:C320"/>
    <mergeCell ref="A284:J284"/>
    <mergeCell ref="A276:C276"/>
    <mergeCell ref="A277:C277"/>
    <mergeCell ref="A292:C292"/>
    <mergeCell ref="A293:C293"/>
    <mergeCell ref="A295:C295"/>
    <mergeCell ref="A296:C296"/>
    <mergeCell ref="A288:C288"/>
    <mergeCell ref="A287:C287"/>
    <mergeCell ref="A290:C290"/>
    <mergeCell ref="A307:C307"/>
    <mergeCell ref="A305:C305"/>
    <mergeCell ref="A308:C308"/>
    <mergeCell ref="A309:C309"/>
    <mergeCell ref="A297:C297"/>
    <mergeCell ref="A249:C249"/>
    <mergeCell ref="A263:C263"/>
    <mergeCell ref="A265:C265"/>
    <mergeCell ref="A266:C266"/>
    <mergeCell ref="A260:C260"/>
    <mergeCell ref="A261:C261"/>
    <mergeCell ref="A262:C262"/>
    <mergeCell ref="A264:I264"/>
    <mergeCell ref="A256:C256"/>
    <mergeCell ref="A257:J257"/>
    <mergeCell ref="A258:J258"/>
    <mergeCell ref="A259:I259"/>
    <mergeCell ref="A568:J568"/>
    <mergeCell ref="A570:I570"/>
    <mergeCell ref="A244:C244"/>
    <mergeCell ref="A268:C268"/>
    <mergeCell ref="A271:C271"/>
    <mergeCell ref="A549:C549"/>
    <mergeCell ref="A550:C550"/>
    <mergeCell ref="A554:C554"/>
    <mergeCell ref="A279:C279"/>
    <mergeCell ref="A280:C280"/>
    <mergeCell ref="A283:C283"/>
    <mergeCell ref="A285:J285"/>
    <mergeCell ref="A286:J286"/>
    <mergeCell ref="A289:C289"/>
    <mergeCell ref="A291:I291"/>
    <mergeCell ref="A294:I294"/>
    <mergeCell ref="A304:I304"/>
    <mergeCell ref="A310:C310"/>
    <mergeCell ref="A315:J315"/>
    <mergeCell ref="A250:C250"/>
    <mergeCell ref="A251:C251"/>
    <mergeCell ref="A252:C252"/>
    <mergeCell ref="A254:C254"/>
    <mergeCell ref="A247:C247"/>
    <mergeCell ref="A542:I542"/>
    <mergeCell ref="A544:C544"/>
    <mergeCell ref="A546:I546"/>
    <mergeCell ref="A553:C553"/>
    <mergeCell ref="A555:I555"/>
    <mergeCell ref="A561:C561"/>
    <mergeCell ref="A562:C562"/>
    <mergeCell ref="A557:C557"/>
    <mergeCell ref="A558:C558"/>
    <mergeCell ref="A559:C559"/>
    <mergeCell ref="A560:C560"/>
    <mergeCell ref="A556:C556"/>
  </mergeCells>
  <pageMargins left="0.7" right="0.7" top="1.0874999999999999" bottom="0.75" header="0.3" footer="0.3"/>
  <pageSetup paperSize="9" scale="86" orientation="landscape" r:id="rId1"/>
  <rowBreaks count="20" manualBreakCount="20">
    <brk id="27" max="10" man="1"/>
    <brk id="55" max="10" man="1"/>
    <brk id="82" max="16383" man="1"/>
    <brk id="111" max="10" man="1"/>
    <brk id="139" max="10" man="1"/>
    <brk id="169" max="10" man="1"/>
    <brk id="196" max="10" man="1"/>
    <brk id="226" max="10" man="1"/>
    <brk id="255" max="10" man="1"/>
    <brk id="282" max="10" man="1"/>
    <brk id="312" max="10" man="1"/>
    <brk id="340" max="10" man="1"/>
    <brk id="366" max="10" man="1"/>
    <brk id="395" max="10" man="1"/>
    <brk id="422" max="10" man="1"/>
    <brk id="449" max="10" man="1"/>
    <brk id="477" max="10" man="1"/>
    <brk id="504" max="10" man="1"/>
    <brk id="533" max="10" man="1"/>
    <brk id="562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4"/>
  <sheetViews>
    <sheetView topLeftCell="A49" workbookViewId="0">
      <selection activeCell="C10" sqref="C10"/>
    </sheetView>
  </sheetViews>
  <sheetFormatPr defaultRowHeight="15" x14ac:dyDescent="0.25"/>
  <cols>
    <col min="2" max="2" width="11.7109375" customWidth="1"/>
  </cols>
  <sheetData>
    <row r="6" spans="1:14" ht="15.75" x14ac:dyDescent="0.25">
      <c r="B6" s="4" t="s">
        <v>87</v>
      </c>
      <c r="C6" s="4"/>
      <c r="D6" s="4"/>
      <c r="E6" s="4"/>
      <c r="F6" s="4"/>
      <c r="G6" s="4"/>
      <c r="H6" s="4"/>
      <c r="I6" s="4"/>
      <c r="J6" s="4"/>
      <c r="K6" s="4" t="s">
        <v>87</v>
      </c>
      <c r="L6" s="4"/>
      <c r="M6" s="4"/>
      <c r="N6" s="4"/>
    </row>
    <row r="7" spans="1:14" ht="15.75" x14ac:dyDescent="0.25">
      <c r="B7" s="4" t="s">
        <v>244</v>
      </c>
      <c r="C7" s="4"/>
      <c r="D7" s="4"/>
      <c r="E7" s="4"/>
      <c r="F7" s="4"/>
      <c r="G7" s="4"/>
      <c r="H7" s="4"/>
      <c r="I7" s="4"/>
      <c r="J7" s="4"/>
      <c r="K7" s="4" t="s">
        <v>375</v>
      </c>
      <c r="L7" s="4"/>
      <c r="M7" s="4"/>
      <c r="N7" s="4"/>
    </row>
    <row r="8" spans="1:14" ht="15.75" x14ac:dyDescent="0.25">
      <c r="B8" s="4" t="s">
        <v>233</v>
      </c>
      <c r="C8" s="4"/>
      <c r="D8" s="4"/>
      <c r="E8" s="4"/>
      <c r="F8" s="4"/>
      <c r="G8" s="4"/>
      <c r="H8" s="4"/>
      <c r="I8" s="4"/>
      <c r="J8" s="4"/>
      <c r="K8" s="4" t="s">
        <v>376</v>
      </c>
      <c r="L8" s="4"/>
      <c r="M8" s="4"/>
      <c r="N8" s="4"/>
    </row>
    <row r="9" spans="1:14" ht="15.75" x14ac:dyDescent="0.25">
      <c r="B9" s="4" t="s">
        <v>274</v>
      </c>
      <c r="C9" s="4"/>
      <c r="D9" s="4"/>
      <c r="E9" s="4"/>
      <c r="F9" s="4"/>
      <c r="G9" s="4"/>
      <c r="H9" s="4"/>
      <c r="I9" s="4"/>
      <c r="J9" s="4"/>
      <c r="K9" s="4" t="s">
        <v>91</v>
      </c>
      <c r="L9" s="4"/>
      <c r="M9" s="4"/>
      <c r="N9" s="4"/>
    </row>
    <row r="10" spans="1:14" ht="15.75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1:14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5"/>
      <c r="B12" s="5"/>
      <c r="C12" s="5"/>
      <c r="D12" s="5"/>
      <c r="E12" s="5"/>
      <c r="F12" s="5"/>
      <c r="G12" s="5"/>
      <c r="H12" s="193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 t="s">
        <v>381</v>
      </c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5"/>
      <c r="F14" s="191" t="s">
        <v>379</v>
      </c>
      <c r="G14" s="191" t="s">
        <v>380</v>
      </c>
      <c r="H14" s="191"/>
      <c r="I14" s="191"/>
      <c r="J14" s="191">
        <v>144</v>
      </c>
      <c r="K14" s="190"/>
      <c r="L14" s="5"/>
      <c r="M14" s="5"/>
      <c r="N14" s="5"/>
    </row>
    <row r="15" spans="1:14" ht="30" x14ac:dyDescent="0.4">
      <c r="A15" s="291" t="s">
        <v>92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</row>
    <row r="16" spans="1:14" ht="30" x14ac:dyDescent="0.4">
      <c r="A16" s="291" t="s">
        <v>93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</row>
    <row r="17" spans="1:14" ht="30" x14ac:dyDescent="0.4">
      <c r="A17" s="291" t="s">
        <v>94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</row>
    <row r="18" spans="1:14" ht="25.5" x14ac:dyDescent="0.35">
      <c r="A18" s="292" t="s">
        <v>272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4" x14ac:dyDescent="0.25">
      <c r="A19" s="5"/>
      <c r="B19" s="5"/>
      <c r="C19" s="5"/>
      <c r="D19" s="5"/>
      <c r="E19" s="293" t="s">
        <v>97</v>
      </c>
      <c r="F19" s="293"/>
      <c r="G19" s="293"/>
      <c r="H19" s="293"/>
      <c r="I19" s="293"/>
      <c r="J19" s="293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G21" s="293" t="s">
        <v>275</v>
      </c>
      <c r="H21" s="293"/>
      <c r="I21" s="293"/>
    </row>
    <row r="22" spans="1:14" x14ac:dyDescent="0.25">
      <c r="G22" s="293"/>
      <c r="H22" s="293"/>
      <c r="I22" s="293"/>
    </row>
    <row r="23" spans="1:14" x14ac:dyDescent="0.25">
      <c r="G23" s="293"/>
      <c r="H23" s="293"/>
      <c r="I23" s="293"/>
    </row>
    <row r="24" spans="1:14" x14ac:dyDescent="0.25">
      <c r="G24" s="293"/>
      <c r="H24" s="293"/>
      <c r="I24" s="293"/>
    </row>
  </sheetData>
  <mergeCells count="6">
    <mergeCell ref="G21:I24"/>
    <mergeCell ref="A15:N15"/>
    <mergeCell ref="A16:N16"/>
    <mergeCell ref="A17:N17"/>
    <mergeCell ref="A18:N18"/>
    <mergeCell ref="E19:J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3-7 лет 1 нед</vt:lpstr>
      <vt:lpstr>2 неделя</vt:lpstr>
      <vt:lpstr>шапка сад</vt:lpstr>
      <vt:lpstr>титул сад</vt:lpstr>
      <vt:lpstr>сад 20 дней меню</vt:lpstr>
      <vt:lpstr>ясли 20 дней</vt:lpstr>
      <vt:lpstr>Лист1</vt:lpstr>
      <vt:lpstr>'3-7 лет 1 нед'!Область_печати</vt:lpstr>
      <vt:lpstr>'сад 20 дней меню'!Область_печати</vt:lpstr>
      <vt:lpstr>'ясли 20 дней'!Область_печати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2019-03-11T12:40:02Z</dcterms:modified>
</cp:coreProperties>
</file>