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 - меню с сентября 2023\конрактная служба двадцатидневное\"/>
    </mc:Choice>
  </mc:AlternateContent>
  <bookViews>
    <workbookView xWindow="0" yWindow="0" windowWidth="28800" windowHeight="12045" tabRatio="815" activeTab="1"/>
  </bookViews>
  <sheets>
    <sheet name="72-08 руб завтрак 7-11 лет " sheetId="2" r:id="rId1"/>
    <sheet name="72-08  обед 7-11 лет  " sheetId="4" r:id="rId2"/>
    <sheet name="72-08 руб завтрак 12-18 лет" sheetId="6" r:id="rId3"/>
    <sheet name="147 руб 7-11 лет " sheetId="1" r:id="rId4"/>
    <sheet name="147 руб 12-18 лет " sheetId="7" r:id="rId5"/>
    <sheet name="127-49 руб 7-11 лет  коррек" sheetId="8" state="hidden" r:id="rId6"/>
    <sheet name="139-29  руб 12-18 лет коррекц " sheetId="9" state="hidden" r:id="rId7"/>
    <sheet name="148 руб 12-18 лет " sheetId="12" r:id="rId8"/>
    <sheet name="30 руб  кадеты 7-11 лет  " sheetId="5" r:id="rId9"/>
  </sheets>
  <definedNames>
    <definedName name="_xlnm.Print_Area" localSheetId="5">'127-49 руб 7-11 лет  коррек'!$A$1:$N$159</definedName>
    <definedName name="_xlnm.Print_Area" localSheetId="6">'139-29  руб 12-18 лет коррекц '!$A$1:$N$161</definedName>
    <definedName name="_xlnm.Print_Area" localSheetId="4">'147 руб 12-18 лет '!$A$3:$G$160</definedName>
    <definedName name="_xlnm.Print_Area" localSheetId="3">'147 руб 7-11 лет '!$A$3:$G$161</definedName>
    <definedName name="_xlnm.Print_Area" localSheetId="7">'148 руб 12-18 лет '!$A$3:$G$160</definedName>
    <definedName name="_xlnm.Print_Area" localSheetId="8">'30 руб  кадеты 7-11 лет  '!$A$1:$G$149</definedName>
    <definedName name="_xlnm.Print_Area" localSheetId="1">'72-08  обед 7-11 лет  '!$A$3:$G$94</definedName>
    <definedName name="_xlnm.Print_Area" localSheetId="2">'72-08 руб завтрак 12-18 лет'!$A$3:$G$84</definedName>
    <definedName name="_xlnm.Print_Area" localSheetId="0">'72-08 руб завтрак 7-11 лет '!$A$3:$G$84</definedName>
  </definedNames>
  <calcPr calcId="162913"/>
</workbook>
</file>

<file path=xl/calcChain.xml><?xml version="1.0" encoding="utf-8"?>
<calcChain xmlns="http://schemas.openxmlformats.org/spreadsheetml/2006/main">
  <c r="G300" i="12" l="1"/>
  <c r="F300" i="12"/>
  <c r="E300" i="12"/>
  <c r="D300" i="12"/>
  <c r="E279" i="12" l="1"/>
  <c r="F279" i="12"/>
  <c r="G279" i="12"/>
  <c r="D279" i="12"/>
  <c r="E286" i="12"/>
  <c r="F286" i="12"/>
  <c r="G286" i="12"/>
  <c r="D286" i="12"/>
  <c r="E280" i="12"/>
  <c r="F280" i="12"/>
  <c r="G280" i="12"/>
  <c r="D280" i="12"/>
  <c r="G284" i="12"/>
  <c r="F284" i="12"/>
  <c r="E284" i="12"/>
  <c r="D284" i="12"/>
  <c r="E251" i="12"/>
  <c r="F251" i="12"/>
  <c r="G251" i="12"/>
  <c r="D251" i="12"/>
  <c r="E258" i="12"/>
  <c r="F258" i="12"/>
  <c r="G258" i="12"/>
  <c r="D258" i="12"/>
  <c r="E252" i="12"/>
  <c r="F252" i="12"/>
  <c r="G252" i="12"/>
  <c r="D252" i="12"/>
  <c r="G270" i="12"/>
  <c r="F270" i="12"/>
  <c r="E270" i="12"/>
  <c r="D270" i="12"/>
  <c r="D266" i="12" s="1"/>
  <c r="G256" i="12"/>
  <c r="F256" i="12"/>
  <c r="E256" i="12"/>
  <c r="D256" i="12"/>
  <c r="E237" i="12"/>
  <c r="F237" i="12"/>
  <c r="G237" i="12"/>
  <c r="D237" i="12"/>
  <c r="G241" i="12"/>
  <c r="F241" i="12"/>
  <c r="E241" i="12"/>
  <c r="D241" i="12"/>
  <c r="E222" i="12"/>
  <c r="F222" i="12"/>
  <c r="G222" i="12"/>
  <c r="D222" i="12"/>
  <c r="E229" i="12"/>
  <c r="F229" i="12"/>
  <c r="G229" i="12"/>
  <c r="D229" i="12"/>
  <c r="E223" i="12"/>
  <c r="F223" i="12"/>
  <c r="G223" i="12"/>
  <c r="D223" i="12"/>
  <c r="G227" i="12"/>
  <c r="F227" i="12"/>
  <c r="E227" i="12"/>
  <c r="D227" i="12"/>
  <c r="E207" i="12"/>
  <c r="F207" i="12"/>
  <c r="G207" i="12"/>
  <c r="D207" i="12"/>
  <c r="E214" i="12"/>
  <c r="F214" i="12"/>
  <c r="G214" i="12"/>
  <c r="D214" i="12"/>
  <c r="E208" i="12"/>
  <c r="F208" i="12"/>
  <c r="G208" i="12"/>
  <c r="D208" i="12"/>
  <c r="G212" i="12"/>
  <c r="F212" i="12"/>
  <c r="E212" i="12"/>
  <c r="D212" i="12"/>
  <c r="E193" i="12"/>
  <c r="F193" i="12"/>
  <c r="G193" i="12"/>
  <c r="D193" i="12"/>
  <c r="E200" i="12"/>
  <c r="F200" i="12"/>
  <c r="G200" i="12"/>
  <c r="D200" i="12"/>
  <c r="E194" i="12"/>
  <c r="F194" i="12"/>
  <c r="G194" i="12"/>
  <c r="D194" i="12"/>
  <c r="G198" i="12"/>
  <c r="F198" i="12"/>
  <c r="E198" i="12"/>
  <c r="D198" i="12"/>
  <c r="E179" i="12"/>
  <c r="F179" i="12"/>
  <c r="G179" i="12"/>
  <c r="D179" i="12"/>
  <c r="C169" i="12"/>
  <c r="G183" i="12"/>
  <c r="F183" i="12"/>
  <c r="E183" i="12"/>
  <c r="D183" i="12"/>
  <c r="E161" i="12"/>
  <c r="F161" i="12"/>
  <c r="G161" i="12"/>
  <c r="D161" i="12"/>
  <c r="E170" i="12"/>
  <c r="F170" i="12"/>
  <c r="G170" i="12"/>
  <c r="D170" i="12"/>
  <c r="E162" i="12"/>
  <c r="F162" i="12"/>
  <c r="G162" i="12"/>
  <c r="D162" i="12"/>
  <c r="G168" i="12"/>
  <c r="F168" i="12"/>
  <c r="E168" i="12"/>
  <c r="D168" i="12"/>
  <c r="C308" i="12"/>
  <c r="G304" i="12"/>
  <c r="F304" i="12"/>
  <c r="E304" i="12"/>
  <c r="D304" i="12"/>
  <c r="G302" i="12"/>
  <c r="F302" i="12"/>
  <c r="E302" i="12"/>
  <c r="D302" i="12"/>
  <c r="C301" i="12"/>
  <c r="G295" i="12"/>
  <c r="F295" i="12"/>
  <c r="E295" i="12"/>
  <c r="E294" i="12" s="1"/>
  <c r="D295" i="12"/>
  <c r="F294" i="12"/>
  <c r="C293" i="12"/>
  <c r="D291" i="12"/>
  <c r="F290" i="12"/>
  <c r="E290" i="12"/>
  <c r="G288" i="12"/>
  <c r="F288" i="12"/>
  <c r="E288" i="12"/>
  <c r="D288" i="12"/>
  <c r="G287" i="12"/>
  <c r="F287" i="12"/>
  <c r="E287" i="12"/>
  <c r="D287" i="12"/>
  <c r="C285" i="12"/>
  <c r="C278" i="12"/>
  <c r="D276" i="12"/>
  <c r="G274" i="12"/>
  <c r="F274" i="12"/>
  <c r="E274" i="12"/>
  <c r="D274" i="12"/>
  <c r="G273" i="12"/>
  <c r="F273" i="12"/>
  <c r="E273" i="12"/>
  <c r="D273" i="12"/>
  <c r="G272" i="12"/>
  <c r="F272" i="12"/>
  <c r="E272" i="12"/>
  <c r="D272" i="12"/>
  <c r="C271" i="12"/>
  <c r="G266" i="12"/>
  <c r="F266" i="12"/>
  <c r="E266" i="12"/>
  <c r="E265" i="12" s="1"/>
  <c r="F265" i="12"/>
  <c r="C264" i="12"/>
  <c r="G263" i="12"/>
  <c r="F263" i="12"/>
  <c r="E263" i="12"/>
  <c r="D263" i="12"/>
  <c r="G260" i="12"/>
  <c r="F260" i="12"/>
  <c r="E260" i="12"/>
  <c r="D260" i="12"/>
  <c r="G259" i="12"/>
  <c r="F259" i="12"/>
  <c r="E259" i="12"/>
  <c r="D259" i="12"/>
  <c r="C257" i="12"/>
  <c r="F253" i="12"/>
  <c r="E253" i="12"/>
  <c r="D253" i="12"/>
  <c r="C250" i="12"/>
  <c r="F247" i="12"/>
  <c r="E247" i="12"/>
  <c r="D247" i="12"/>
  <c r="G245" i="12"/>
  <c r="F245" i="12"/>
  <c r="F243" i="12" s="1"/>
  <c r="E245" i="12"/>
  <c r="D245" i="12"/>
  <c r="F244" i="12"/>
  <c r="E244" i="12"/>
  <c r="E243" i="12" s="1"/>
  <c r="E236" i="12" s="1"/>
  <c r="D244" i="12"/>
  <c r="G243" i="12"/>
  <c r="D243" i="12"/>
  <c r="C242" i="12"/>
  <c r="F236" i="12"/>
  <c r="G236" i="12"/>
  <c r="C235" i="12"/>
  <c r="D233" i="12"/>
  <c r="F231" i="12"/>
  <c r="E231" i="12"/>
  <c r="D231" i="12"/>
  <c r="G230" i="12"/>
  <c r="F230" i="12"/>
  <c r="E230" i="12"/>
  <c r="D230" i="12"/>
  <c r="C228" i="12"/>
  <c r="C221" i="12"/>
  <c r="G216" i="12"/>
  <c r="F216" i="12"/>
  <c r="E216" i="12"/>
  <c r="D216" i="12"/>
  <c r="F215" i="12"/>
  <c r="D215" i="12"/>
  <c r="C213" i="12"/>
  <c r="F210" i="12"/>
  <c r="E210" i="12"/>
  <c r="D210" i="12"/>
  <c r="C206" i="12"/>
  <c r="G202" i="12"/>
  <c r="F202" i="12"/>
  <c r="E202" i="12"/>
  <c r="D202" i="12"/>
  <c r="F201" i="12"/>
  <c r="E201" i="12"/>
  <c r="D201" i="12"/>
  <c r="C199" i="12"/>
  <c r="C192" i="12"/>
  <c r="G189" i="12"/>
  <c r="F189" i="12"/>
  <c r="E189" i="12"/>
  <c r="D189" i="12"/>
  <c r="G185" i="12"/>
  <c r="F185" i="12"/>
  <c r="E185" i="12"/>
  <c r="D185" i="12"/>
  <c r="C184" i="12"/>
  <c r="G181" i="12"/>
  <c r="F181" i="12"/>
  <c r="F178" i="12" s="1"/>
  <c r="E181" i="12"/>
  <c r="E178" i="12" s="1"/>
  <c r="D181" i="12"/>
  <c r="F180" i="12"/>
  <c r="E180" i="12"/>
  <c r="D180" i="12"/>
  <c r="D178" i="12" s="1"/>
  <c r="G178" i="12"/>
  <c r="G174" i="12"/>
  <c r="F174" i="12"/>
  <c r="E174" i="12"/>
  <c r="D174" i="12"/>
  <c r="G171" i="12"/>
  <c r="F171" i="12"/>
  <c r="E171" i="12"/>
  <c r="D171" i="12"/>
  <c r="E294" i="7"/>
  <c r="F294" i="7"/>
  <c r="G294" i="7"/>
  <c r="D294" i="7"/>
  <c r="E295" i="7"/>
  <c r="F295" i="7"/>
  <c r="G295" i="7"/>
  <c r="D295" i="7"/>
  <c r="E302" i="7"/>
  <c r="F302" i="7"/>
  <c r="G302" i="7"/>
  <c r="D302" i="7"/>
  <c r="G304" i="7"/>
  <c r="F304" i="7"/>
  <c r="E304" i="7"/>
  <c r="D304" i="7"/>
  <c r="D291" i="7"/>
  <c r="F290" i="7"/>
  <c r="E290" i="7"/>
  <c r="G287" i="7"/>
  <c r="F287" i="7"/>
  <c r="E287" i="7"/>
  <c r="D287" i="7"/>
  <c r="G294" i="12" l="1"/>
  <c r="D294" i="12"/>
  <c r="D265" i="12"/>
  <c r="G265" i="12"/>
  <c r="D236" i="12"/>
  <c r="G274" i="7"/>
  <c r="F274" i="7"/>
  <c r="E274" i="7"/>
  <c r="D274" i="7"/>
  <c r="G273" i="7"/>
  <c r="G272" i="7" s="1"/>
  <c r="F273" i="7"/>
  <c r="F272" i="7" s="1"/>
  <c r="E273" i="7"/>
  <c r="E272" i="7" s="1"/>
  <c r="D273" i="7"/>
  <c r="G270" i="7"/>
  <c r="G266" i="7" s="1"/>
  <c r="G265" i="7" s="1"/>
  <c r="F270" i="7"/>
  <c r="F266" i="7" s="1"/>
  <c r="F265" i="7" s="1"/>
  <c r="E270" i="7"/>
  <c r="E266" i="7" s="1"/>
  <c r="E265" i="7" s="1"/>
  <c r="D270" i="7"/>
  <c r="D266" i="7" s="1"/>
  <c r="G252" i="7"/>
  <c r="G263" i="7"/>
  <c r="F263" i="7"/>
  <c r="E263" i="7"/>
  <c r="D263" i="7"/>
  <c r="G260" i="7"/>
  <c r="F260" i="7"/>
  <c r="E260" i="7"/>
  <c r="D260" i="7"/>
  <c r="G259" i="7"/>
  <c r="G258" i="7" s="1"/>
  <c r="F259" i="7"/>
  <c r="F258" i="7" s="1"/>
  <c r="E259" i="7"/>
  <c r="E258" i="7" s="1"/>
  <c r="D259" i="7"/>
  <c r="D258" i="7" s="1"/>
  <c r="F253" i="7"/>
  <c r="F252" i="7" s="1"/>
  <c r="F251" i="7" s="1"/>
  <c r="E253" i="7"/>
  <c r="E252" i="7" s="1"/>
  <c r="D253" i="7"/>
  <c r="D252" i="7" s="1"/>
  <c r="D251" i="7" s="1"/>
  <c r="F247" i="7"/>
  <c r="E247" i="7"/>
  <c r="D247" i="7"/>
  <c r="G245" i="7"/>
  <c r="G243" i="7" s="1"/>
  <c r="F245" i="7"/>
  <c r="E245" i="7"/>
  <c r="D245" i="7"/>
  <c r="F244" i="7"/>
  <c r="F243" i="7" s="1"/>
  <c r="E244" i="7"/>
  <c r="D244" i="7"/>
  <c r="D243" i="7" s="1"/>
  <c r="E243" i="7" l="1"/>
  <c r="E251" i="7"/>
  <c r="G251" i="7"/>
  <c r="D233" i="7"/>
  <c r="F231" i="7"/>
  <c r="E231" i="7"/>
  <c r="D231" i="7"/>
  <c r="G230" i="7"/>
  <c r="G229" i="7" s="1"/>
  <c r="F230" i="7"/>
  <c r="F229" i="7" s="1"/>
  <c r="E230" i="7"/>
  <c r="E229" i="7" s="1"/>
  <c r="D230" i="7"/>
  <c r="G208" i="7"/>
  <c r="G216" i="7"/>
  <c r="G214" i="7" s="1"/>
  <c r="F216" i="7"/>
  <c r="E216" i="7"/>
  <c r="E214" i="7" s="1"/>
  <c r="D216" i="7"/>
  <c r="F215" i="7"/>
  <c r="F214" i="7" s="1"/>
  <c r="D215" i="7"/>
  <c r="D229" i="7" l="1"/>
  <c r="G207" i="7"/>
  <c r="D214" i="7"/>
  <c r="G200" i="7"/>
  <c r="G202" i="7"/>
  <c r="F202" i="7"/>
  <c r="E202" i="7"/>
  <c r="D202" i="7"/>
  <c r="D200" i="7" s="1"/>
  <c r="F201" i="7"/>
  <c r="E201" i="7"/>
  <c r="D201" i="7"/>
  <c r="E200" i="7" l="1"/>
  <c r="F200" i="7"/>
  <c r="E162" i="7"/>
  <c r="F162" i="7"/>
  <c r="G162" i="7"/>
  <c r="D162" i="7"/>
  <c r="G174" i="7"/>
  <c r="F174" i="7"/>
  <c r="E174" i="7"/>
  <c r="D174" i="7"/>
  <c r="G171" i="7"/>
  <c r="G170" i="7" s="1"/>
  <c r="F171" i="7"/>
  <c r="F170" i="7" s="1"/>
  <c r="E171" i="7"/>
  <c r="E170" i="7" s="1"/>
  <c r="D171" i="7"/>
  <c r="D170" i="7" s="1"/>
  <c r="D161" i="7" l="1"/>
  <c r="G161" i="7"/>
  <c r="F161" i="7"/>
  <c r="E161" i="7"/>
  <c r="C308" i="7"/>
  <c r="C301" i="7"/>
  <c r="C293" i="7"/>
  <c r="G288" i="7"/>
  <c r="G286" i="7" s="1"/>
  <c r="F288" i="7"/>
  <c r="F286" i="7" s="1"/>
  <c r="E288" i="7"/>
  <c r="E286" i="7" s="1"/>
  <c r="D288" i="7"/>
  <c r="D286" i="7" s="1"/>
  <c r="C285" i="7"/>
  <c r="G284" i="7"/>
  <c r="G280" i="7" s="1"/>
  <c r="G279" i="7" s="1"/>
  <c r="F284" i="7"/>
  <c r="F280" i="7" s="1"/>
  <c r="E284" i="7"/>
  <c r="E280" i="7" s="1"/>
  <c r="D284" i="7"/>
  <c r="D280" i="7" s="1"/>
  <c r="D279" i="7" s="1"/>
  <c r="C278" i="7"/>
  <c r="D276" i="7"/>
  <c r="D272" i="7" s="1"/>
  <c r="D265" i="7" s="1"/>
  <c r="C271" i="7"/>
  <c r="C264" i="7"/>
  <c r="C257" i="7"/>
  <c r="C250" i="7"/>
  <c r="C242" i="7"/>
  <c r="G241" i="7"/>
  <c r="G237" i="7" s="1"/>
  <c r="G236" i="7" s="1"/>
  <c r="F241" i="7"/>
  <c r="F237" i="7" s="1"/>
  <c r="F236" i="7" s="1"/>
  <c r="E241" i="7"/>
  <c r="E237" i="7" s="1"/>
  <c r="E236" i="7" s="1"/>
  <c r="D241" i="7"/>
  <c r="D237" i="7" s="1"/>
  <c r="D236" i="7" s="1"/>
  <c r="C235" i="7"/>
  <c r="C228" i="7"/>
  <c r="G227" i="7"/>
  <c r="G223" i="7" s="1"/>
  <c r="G222" i="7" s="1"/>
  <c r="F227" i="7"/>
  <c r="F223" i="7" s="1"/>
  <c r="F222" i="7" s="1"/>
  <c r="E227" i="7"/>
  <c r="E223" i="7" s="1"/>
  <c r="E222" i="7" s="1"/>
  <c r="D227" i="7"/>
  <c r="D223" i="7" s="1"/>
  <c r="D222" i="7" s="1"/>
  <c r="C221" i="7"/>
  <c r="C213" i="7"/>
  <c r="F210" i="7"/>
  <c r="F208" i="7" s="1"/>
  <c r="F207" i="7" s="1"/>
  <c r="E210" i="7"/>
  <c r="E208" i="7" s="1"/>
  <c r="E207" i="7" s="1"/>
  <c r="D210" i="7"/>
  <c r="D208" i="7" s="1"/>
  <c r="D207" i="7" s="1"/>
  <c r="C206" i="7"/>
  <c r="C199" i="7"/>
  <c r="G198" i="7"/>
  <c r="G194" i="7" s="1"/>
  <c r="G193" i="7" s="1"/>
  <c r="F198" i="7"/>
  <c r="F194" i="7" s="1"/>
  <c r="F193" i="7" s="1"/>
  <c r="E198" i="7"/>
  <c r="E194" i="7" s="1"/>
  <c r="E193" i="7" s="1"/>
  <c r="D198" i="7"/>
  <c r="D194" i="7" s="1"/>
  <c r="D193" i="7" s="1"/>
  <c r="C192" i="7"/>
  <c r="G189" i="7"/>
  <c r="G185" i="7" s="1"/>
  <c r="F189" i="7"/>
  <c r="F185" i="7" s="1"/>
  <c r="E189" i="7"/>
  <c r="E185" i="7" s="1"/>
  <c r="D189" i="7"/>
  <c r="D185" i="7" s="1"/>
  <c r="C184" i="7"/>
  <c r="G181" i="7"/>
  <c r="G179" i="7" s="1"/>
  <c r="F181" i="7"/>
  <c r="E181" i="7"/>
  <c r="D181" i="7"/>
  <c r="F180" i="7"/>
  <c r="E180" i="7"/>
  <c r="D180" i="7"/>
  <c r="E137" i="5"/>
  <c r="F137" i="5"/>
  <c r="G137" i="5"/>
  <c r="D137" i="5"/>
  <c r="E130" i="5"/>
  <c r="F130" i="5"/>
  <c r="G130" i="5"/>
  <c r="G129" i="5" s="1"/>
  <c r="D130" i="5"/>
  <c r="D129" i="5"/>
  <c r="C135" i="5"/>
  <c r="F124" i="5"/>
  <c r="E124" i="5"/>
  <c r="E123" i="5" s="1"/>
  <c r="E122" i="5" s="1"/>
  <c r="D124" i="5"/>
  <c r="D123" i="5" s="1"/>
  <c r="D122" i="5" s="1"/>
  <c r="F120" i="5"/>
  <c r="E120" i="5"/>
  <c r="D120" i="5"/>
  <c r="E81" i="5"/>
  <c r="F81" i="5"/>
  <c r="G81" i="5"/>
  <c r="G80" i="5" s="1"/>
  <c r="D81" i="5"/>
  <c r="C149" i="5"/>
  <c r="G144" i="5"/>
  <c r="F144" i="5"/>
  <c r="E144" i="5"/>
  <c r="E143" i="5" s="1"/>
  <c r="D144" i="5"/>
  <c r="G143" i="5"/>
  <c r="F143" i="5"/>
  <c r="D143" i="5"/>
  <c r="C142" i="5"/>
  <c r="F136" i="5"/>
  <c r="E136" i="5"/>
  <c r="G136" i="5"/>
  <c r="D136" i="5"/>
  <c r="E129" i="5"/>
  <c r="F129" i="5"/>
  <c r="C128" i="5"/>
  <c r="G123" i="5"/>
  <c r="G122" i="5" s="1"/>
  <c r="F123" i="5"/>
  <c r="F122" i="5" s="1"/>
  <c r="C121" i="5"/>
  <c r="G116" i="5"/>
  <c r="F116" i="5"/>
  <c r="E116" i="5"/>
  <c r="D116" i="5"/>
  <c r="D115" i="5" s="1"/>
  <c r="G115" i="5"/>
  <c r="F115" i="5"/>
  <c r="E115" i="5"/>
  <c r="C114" i="5"/>
  <c r="G109" i="5"/>
  <c r="F109" i="5"/>
  <c r="E109" i="5"/>
  <c r="D109" i="5"/>
  <c r="G108" i="5"/>
  <c r="F108" i="5"/>
  <c r="E108" i="5"/>
  <c r="D108" i="5"/>
  <c r="C107" i="5"/>
  <c r="G102" i="5"/>
  <c r="F102" i="5"/>
  <c r="E102" i="5"/>
  <c r="D102" i="5"/>
  <c r="G101" i="5"/>
  <c r="F101" i="5"/>
  <c r="E101" i="5"/>
  <c r="D101" i="5"/>
  <c r="C100" i="5"/>
  <c r="G95" i="5"/>
  <c r="F95" i="5"/>
  <c r="E95" i="5"/>
  <c r="E94" i="5" s="1"/>
  <c r="D95" i="5"/>
  <c r="G94" i="5"/>
  <c r="F94" i="5"/>
  <c r="D94" i="5"/>
  <c r="C93" i="5"/>
  <c r="F89" i="5"/>
  <c r="E89" i="5"/>
  <c r="D89" i="5"/>
  <c r="G88" i="5"/>
  <c r="F88" i="5"/>
  <c r="E88" i="5"/>
  <c r="D88" i="5"/>
  <c r="D87" i="5" s="1"/>
  <c r="G87" i="5"/>
  <c r="F87" i="5"/>
  <c r="E87" i="5"/>
  <c r="C86" i="5"/>
  <c r="F80" i="5"/>
  <c r="E80" i="5"/>
  <c r="D80" i="5"/>
  <c r="F279" i="7" l="1"/>
  <c r="E279" i="7"/>
  <c r="G178" i="7"/>
  <c r="E179" i="7"/>
  <c r="E178" i="7" s="1"/>
  <c r="F179" i="7"/>
  <c r="F178" i="7" s="1"/>
  <c r="D179" i="7"/>
  <c r="D178" i="7" s="1"/>
  <c r="E299" i="1"/>
  <c r="F299" i="1"/>
  <c r="G299" i="1"/>
  <c r="D299" i="1"/>
  <c r="E300" i="1"/>
  <c r="F300" i="1"/>
  <c r="G300" i="1"/>
  <c r="D300" i="1"/>
  <c r="E306" i="1"/>
  <c r="F306" i="1"/>
  <c r="G306" i="1"/>
  <c r="D306" i="1"/>
  <c r="C305" i="1"/>
  <c r="E284" i="1"/>
  <c r="F284" i="1"/>
  <c r="G284" i="1"/>
  <c r="D284" i="1"/>
  <c r="E291" i="1"/>
  <c r="F291" i="1"/>
  <c r="G291" i="1"/>
  <c r="D291" i="1"/>
  <c r="C290" i="1"/>
  <c r="E269" i="1"/>
  <c r="F269" i="1"/>
  <c r="G269" i="1"/>
  <c r="D269" i="1"/>
  <c r="E276" i="1"/>
  <c r="F276" i="1"/>
  <c r="G276" i="1"/>
  <c r="D276" i="1"/>
  <c r="C275" i="1"/>
  <c r="E255" i="1"/>
  <c r="F255" i="1"/>
  <c r="G255" i="1"/>
  <c r="D255" i="1"/>
  <c r="E261" i="1"/>
  <c r="F261" i="1"/>
  <c r="G261" i="1"/>
  <c r="D261" i="1"/>
  <c r="C260" i="1"/>
  <c r="E240" i="1"/>
  <c r="F240" i="1"/>
  <c r="G240" i="1"/>
  <c r="D240" i="1"/>
  <c r="E246" i="1"/>
  <c r="F246" i="1"/>
  <c r="G246" i="1"/>
  <c r="D246" i="1"/>
  <c r="C245" i="1"/>
  <c r="E254" i="1" l="1"/>
  <c r="F268" i="1"/>
  <c r="E268" i="1"/>
  <c r="D268" i="1"/>
  <c r="G268" i="1"/>
  <c r="D254" i="1"/>
  <c r="G254" i="1"/>
  <c r="F254" i="1"/>
  <c r="E239" i="1"/>
  <c r="G239" i="1"/>
  <c r="F239" i="1"/>
  <c r="D239" i="1"/>
  <c r="E226" i="1"/>
  <c r="F226" i="1"/>
  <c r="G226" i="1"/>
  <c r="D226" i="1"/>
  <c r="E232" i="1"/>
  <c r="F232" i="1"/>
  <c r="G232" i="1"/>
  <c r="D232" i="1"/>
  <c r="C231" i="1"/>
  <c r="E211" i="1"/>
  <c r="F211" i="1"/>
  <c r="G211" i="1"/>
  <c r="D211" i="1"/>
  <c r="E217" i="1"/>
  <c r="F217" i="1"/>
  <c r="G217" i="1"/>
  <c r="D217" i="1"/>
  <c r="C216" i="1"/>
  <c r="E196" i="1"/>
  <c r="F196" i="1"/>
  <c r="G196" i="1"/>
  <c r="D196" i="1"/>
  <c r="E203" i="1"/>
  <c r="F203" i="1"/>
  <c r="G203" i="1"/>
  <c r="D203" i="1"/>
  <c r="C202" i="1"/>
  <c r="E163" i="1"/>
  <c r="F163" i="1"/>
  <c r="G163" i="1"/>
  <c r="D163" i="1"/>
  <c r="E180" i="1"/>
  <c r="F180" i="1"/>
  <c r="G180" i="1"/>
  <c r="D180" i="1"/>
  <c r="E187" i="1"/>
  <c r="F187" i="1"/>
  <c r="G187" i="1"/>
  <c r="D187" i="1"/>
  <c r="C186" i="1"/>
  <c r="C178" i="1"/>
  <c r="C170" i="1"/>
  <c r="C312" i="1"/>
  <c r="C298" i="1"/>
  <c r="F283" i="1"/>
  <c r="E283" i="1"/>
  <c r="D283" i="1"/>
  <c r="G283" i="1"/>
  <c r="C282" i="1"/>
  <c r="C267" i="1"/>
  <c r="C253" i="1"/>
  <c r="C238" i="1"/>
  <c r="C224" i="1"/>
  <c r="C209" i="1"/>
  <c r="C194" i="1"/>
  <c r="G171" i="1"/>
  <c r="F171" i="1"/>
  <c r="E171" i="1"/>
  <c r="D171" i="1"/>
  <c r="E225" i="1" l="1"/>
  <c r="E162" i="1"/>
  <c r="D225" i="1"/>
  <c r="E195" i="1"/>
  <c r="G225" i="1"/>
  <c r="F225" i="1"/>
  <c r="E179" i="1"/>
  <c r="G210" i="1"/>
  <c r="F210" i="1"/>
  <c r="D195" i="1"/>
  <c r="E210" i="1"/>
  <c r="F195" i="1"/>
  <c r="G195" i="1"/>
  <c r="D210" i="1"/>
  <c r="D179" i="1"/>
  <c r="D162" i="1"/>
  <c r="G179" i="1"/>
  <c r="G162" i="1"/>
  <c r="F179" i="1"/>
  <c r="F162" i="1"/>
  <c r="E158" i="4" l="1"/>
  <c r="F158" i="4"/>
  <c r="G158" i="4"/>
  <c r="D158" i="4"/>
  <c r="E115" i="4"/>
  <c r="F115" i="4"/>
  <c r="G115" i="4"/>
  <c r="D115" i="4"/>
  <c r="E175" i="4"/>
  <c r="F175" i="4"/>
  <c r="G175" i="4"/>
  <c r="D175" i="4"/>
  <c r="E176" i="4"/>
  <c r="F176" i="4"/>
  <c r="G176" i="4"/>
  <c r="D176" i="4"/>
  <c r="E167" i="4"/>
  <c r="F167" i="4"/>
  <c r="G167" i="4"/>
  <c r="D167" i="4"/>
  <c r="E149" i="4"/>
  <c r="F149" i="4"/>
  <c r="G149" i="4"/>
  <c r="D149" i="4"/>
  <c r="E141" i="4"/>
  <c r="F141" i="4"/>
  <c r="G141" i="4"/>
  <c r="D141" i="4"/>
  <c r="E132" i="4"/>
  <c r="F132" i="4"/>
  <c r="G132" i="4"/>
  <c r="D132" i="4"/>
  <c r="G123" i="4"/>
  <c r="D123" i="4"/>
  <c r="F125" i="4"/>
  <c r="F123" i="4" s="1"/>
  <c r="E125" i="4"/>
  <c r="E123" i="4" s="1"/>
  <c r="E105" i="4"/>
  <c r="E104" i="4" s="1"/>
  <c r="F105" i="4"/>
  <c r="F104" i="4" s="1"/>
  <c r="G105" i="4"/>
  <c r="G104" i="4" s="1"/>
  <c r="D105" i="4"/>
  <c r="D104" i="4" s="1"/>
  <c r="E96" i="4"/>
  <c r="F96" i="4"/>
  <c r="G96" i="4"/>
  <c r="D96" i="4"/>
  <c r="F95" i="4" l="1"/>
  <c r="C182" i="4"/>
  <c r="C174" i="4"/>
  <c r="G166" i="4"/>
  <c r="F166" i="4"/>
  <c r="E166" i="4"/>
  <c r="D166" i="4"/>
  <c r="C165" i="4"/>
  <c r="E157" i="4"/>
  <c r="G157" i="4"/>
  <c r="F157" i="4"/>
  <c r="D157" i="4"/>
  <c r="C156" i="4"/>
  <c r="G148" i="4"/>
  <c r="F148" i="4"/>
  <c r="E148" i="4"/>
  <c r="D148" i="4"/>
  <c r="C147" i="4"/>
  <c r="G140" i="4"/>
  <c r="F140" i="4"/>
  <c r="E140" i="4"/>
  <c r="D140" i="4"/>
  <c r="C139" i="4"/>
  <c r="G131" i="4"/>
  <c r="F131" i="4"/>
  <c r="E131" i="4"/>
  <c r="D131" i="4"/>
  <c r="C130" i="4"/>
  <c r="G122" i="4"/>
  <c r="F122" i="4"/>
  <c r="E122" i="4"/>
  <c r="D122" i="4"/>
  <c r="C121" i="4"/>
  <c r="G114" i="4"/>
  <c r="F114" i="4"/>
  <c r="E114" i="4"/>
  <c r="D114" i="4"/>
  <c r="C113" i="4"/>
  <c r="C103" i="4"/>
  <c r="E95" i="4"/>
  <c r="D95" i="4"/>
  <c r="G95" i="4"/>
  <c r="E155" i="6"/>
  <c r="F155" i="6"/>
  <c r="G155" i="6"/>
  <c r="D155" i="6"/>
  <c r="E147" i="6"/>
  <c r="F147" i="6"/>
  <c r="G147" i="6"/>
  <c r="G146" i="6" s="1"/>
  <c r="D147" i="6"/>
  <c r="E139" i="6"/>
  <c r="F139" i="6"/>
  <c r="G139" i="6"/>
  <c r="D139" i="6"/>
  <c r="E132" i="6"/>
  <c r="F132" i="6"/>
  <c r="F131" i="6" s="1"/>
  <c r="G132" i="6"/>
  <c r="D132" i="6"/>
  <c r="E125" i="6"/>
  <c r="F125" i="6"/>
  <c r="G125" i="6"/>
  <c r="D125" i="6"/>
  <c r="E118" i="6"/>
  <c r="F118" i="6"/>
  <c r="G118" i="6"/>
  <c r="D118" i="6"/>
  <c r="E111" i="6"/>
  <c r="F111" i="6"/>
  <c r="G111" i="6"/>
  <c r="D111" i="6"/>
  <c r="E103" i="6"/>
  <c r="F103" i="6"/>
  <c r="F102" i="6" s="1"/>
  <c r="G103" i="6"/>
  <c r="D103" i="6"/>
  <c r="E95" i="6"/>
  <c r="F95" i="6"/>
  <c r="G95" i="6"/>
  <c r="D95" i="6"/>
  <c r="E86" i="6"/>
  <c r="F86" i="6"/>
  <c r="G86" i="6"/>
  <c r="D86" i="6"/>
  <c r="G149" i="6"/>
  <c r="F149" i="6"/>
  <c r="F146" i="6" s="1"/>
  <c r="E149" i="6"/>
  <c r="D149" i="6"/>
  <c r="D146" i="6" s="1"/>
  <c r="G141" i="6"/>
  <c r="F141" i="6"/>
  <c r="E141" i="6"/>
  <c r="D141" i="6"/>
  <c r="F120" i="6"/>
  <c r="E120" i="6"/>
  <c r="F94" i="6"/>
  <c r="G94" i="6"/>
  <c r="G85" i="6"/>
  <c r="G100" i="6"/>
  <c r="F100" i="6"/>
  <c r="E100" i="6"/>
  <c r="D100" i="6"/>
  <c r="D94" i="6" s="1"/>
  <c r="F97" i="6"/>
  <c r="E97" i="6"/>
  <c r="D97" i="6"/>
  <c r="G96" i="6"/>
  <c r="F96" i="6"/>
  <c r="E96" i="6"/>
  <c r="D96" i="6"/>
  <c r="C160" i="6"/>
  <c r="G154" i="6"/>
  <c r="D154" i="6"/>
  <c r="F154" i="6"/>
  <c r="E154" i="6"/>
  <c r="C153" i="6"/>
  <c r="E146" i="6"/>
  <c r="C145" i="6"/>
  <c r="F138" i="6"/>
  <c r="E138" i="6"/>
  <c r="D138" i="6"/>
  <c r="G138" i="6"/>
  <c r="C137" i="6"/>
  <c r="G131" i="6"/>
  <c r="E131" i="6"/>
  <c r="D131" i="6"/>
  <c r="C130" i="6"/>
  <c r="G124" i="6"/>
  <c r="F124" i="6"/>
  <c r="E124" i="6"/>
  <c r="D124" i="6"/>
  <c r="C123" i="6"/>
  <c r="G117" i="6"/>
  <c r="F117" i="6"/>
  <c r="E117" i="6"/>
  <c r="D117" i="6"/>
  <c r="C116" i="6"/>
  <c r="F110" i="6"/>
  <c r="G110" i="6"/>
  <c r="E110" i="6"/>
  <c r="D110" i="6"/>
  <c r="C109" i="6"/>
  <c r="G102" i="6"/>
  <c r="E102" i="6"/>
  <c r="D102" i="6"/>
  <c r="C101" i="6"/>
  <c r="C93" i="6"/>
  <c r="F85" i="6"/>
  <c r="E85" i="6"/>
  <c r="D85" i="6"/>
  <c r="E155" i="2"/>
  <c r="F155" i="2"/>
  <c r="G155" i="2"/>
  <c r="D155" i="2"/>
  <c r="E147" i="2"/>
  <c r="F147" i="2"/>
  <c r="G147" i="2"/>
  <c r="D147" i="2"/>
  <c r="E139" i="2"/>
  <c r="F139" i="2"/>
  <c r="G139" i="2"/>
  <c r="D139" i="2"/>
  <c r="E132" i="2"/>
  <c r="F132" i="2"/>
  <c r="G132" i="2"/>
  <c r="D132" i="2"/>
  <c r="E125" i="2"/>
  <c r="F125" i="2"/>
  <c r="G125" i="2"/>
  <c r="D125" i="2"/>
  <c r="E118" i="2"/>
  <c r="F118" i="2"/>
  <c r="G118" i="2"/>
  <c r="D118" i="2"/>
  <c r="E111" i="2"/>
  <c r="F111" i="2"/>
  <c r="G111" i="2"/>
  <c r="D111" i="2"/>
  <c r="E103" i="2"/>
  <c r="F103" i="2"/>
  <c r="G103" i="2"/>
  <c r="D103" i="2"/>
  <c r="E95" i="2"/>
  <c r="F95" i="2"/>
  <c r="G95" i="2"/>
  <c r="D95" i="2"/>
  <c r="E86" i="2"/>
  <c r="F86" i="2"/>
  <c r="G86" i="2"/>
  <c r="D86" i="2"/>
  <c r="C137" i="2"/>
  <c r="E94" i="6" l="1"/>
  <c r="F102" i="2"/>
  <c r="D102" i="2"/>
  <c r="C109" i="2"/>
  <c r="C160" i="2"/>
  <c r="F154" i="2"/>
  <c r="E154" i="2"/>
  <c r="D154" i="2"/>
  <c r="G154" i="2"/>
  <c r="C153" i="2"/>
  <c r="G146" i="2"/>
  <c r="F146" i="2"/>
  <c r="E146" i="2"/>
  <c r="D146" i="2"/>
  <c r="C145" i="2"/>
  <c r="G138" i="2"/>
  <c r="F138" i="2"/>
  <c r="E138" i="2"/>
  <c r="D138" i="2"/>
  <c r="F131" i="2"/>
  <c r="E131" i="2"/>
  <c r="D131" i="2"/>
  <c r="G131" i="2"/>
  <c r="C130" i="2"/>
  <c r="F124" i="2"/>
  <c r="E124" i="2"/>
  <c r="D124" i="2"/>
  <c r="G124" i="2"/>
  <c r="C123" i="2"/>
  <c r="F117" i="2"/>
  <c r="E117" i="2"/>
  <c r="D117" i="2"/>
  <c r="G117" i="2"/>
  <c r="C116" i="2"/>
  <c r="G110" i="2"/>
  <c r="F110" i="2"/>
  <c r="E110" i="2"/>
  <c r="D110" i="2"/>
  <c r="G102" i="2"/>
  <c r="E102" i="2"/>
  <c r="C101" i="2"/>
  <c r="F94" i="2"/>
  <c r="E94" i="2"/>
  <c r="D94" i="2"/>
  <c r="G94" i="2"/>
  <c r="C93" i="2"/>
  <c r="G85" i="2"/>
  <c r="F85" i="2"/>
  <c r="E85" i="2"/>
  <c r="D85" i="2"/>
  <c r="G78" i="12" l="1"/>
  <c r="G77" i="12" s="1"/>
  <c r="F78" i="12"/>
  <c r="E78" i="12"/>
  <c r="D78" i="12"/>
  <c r="G138" i="12"/>
  <c r="F138" i="12"/>
  <c r="E138" i="12"/>
  <c r="D138" i="12"/>
  <c r="G138" i="7"/>
  <c r="F138" i="7"/>
  <c r="E138" i="7"/>
  <c r="D138" i="7"/>
  <c r="G78" i="7"/>
  <c r="F78" i="7"/>
  <c r="G43" i="4"/>
  <c r="G151" i="12"/>
  <c r="F151" i="12"/>
  <c r="E151" i="12"/>
  <c r="D151" i="12"/>
  <c r="G135" i="12"/>
  <c r="F135" i="12"/>
  <c r="E135" i="12"/>
  <c r="D135" i="12"/>
  <c r="G119" i="12"/>
  <c r="F119" i="12"/>
  <c r="F115" i="12" s="1"/>
  <c r="E119" i="12"/>
  <c r="D119" i="12"/>
  <c r="G104" i="12"/>
  <c r="F104" i="12"/>
  <c r="F100" i="12" s="1"/>
  <c r="E104" i="12"/>
  <c r="D104" i="12"/>
  <c r="G90" i="12"/>
  <c r="F90" i="12"/>
  <c r="F86" i="12" s="1"/>
  <c r="E90" i="12"/>
  <c r="E86" i="12" s="1"/>
  <c r="D90" i="12"/>
  <c r="G75" i="12"/>
  <c r="F75" i="12"/>
  <c r="F71" i="12" s="1"/>
  <c r="E75" i="12"/>
  <c r="E71" i="12" s="1"/>
  <c r="D75" i="12"/>
  <c r="G61" i="12"/>
  <c r="G57" i="12" s="1"/>
  <c r="F61" i="12"/>
  <c r="E61" i="12"/>
  <c r="D61" i="12"/>
  <c r="G46" i="12"/>
  <c r="F46" i="12"/>
  <c r="F42" i="12" s="1"/>
  <c r="F41" i="12" s="1"/>
  <c r="E46" i="12"/>
  <c r="E42" i="12" s="1"/>
  <c r="D46" i="12"/>
  <c r="G31" i="12"/>
  <c r="F31" i="12"/>
  <c r="E31" i="12"/>
  <c r="D31" i="12"/>
  <c r="G15" i="12"/>
  <c r="F15" i="12"/>
  <c r="F9" i="12" s="1"/>
  <c r="E15" i="12"/>
  <c r="D15" i="12"/>
  <c r="C160" i="12"/>
  <c r="G157" i="12"/>
  <c r="F157" i="12"/>
  <c r="E157" i="12"/>
  <c r="D157" i="12"/>
  <c r="G155" i="12"/>
  <c r="G153" i="12" s="1"/>
  <c r="F155" i="12"/>
  <c r="E155" i="12"/>
  <c r="D155" i="12"/>
  <c r="F154" i="12"/>
  <c r="D154" i="12"/>
  <c r="D153" i="12" s="1"/>
  <c r="E153" i="12"/>
  <c r="C152" i="12"/>
  <c r="G148" i="12"/>
  <c r="G146" i="12" s="1"/>
  <c r="F148" i="12"/>
  <c r="E148" i="12"/>
  <c r="D148" i="12"/>
  <c r="C144" i="12"/>
  <c r="F141" i="12"/>
  <c r="E141" i="12"/>
  <c r="D141" i="12"/>
  <c r="G139" i="12"/>
  <c r="F139" i="12"/>
  <c r="E139" i="12"/>
  <c r="E137" i="12" s="1"/>
  <c r="D139" i="12"/>
  <c r="G137" i="12"/>
  <c r="D137" i="12"/>
  <c r="C136" i="12"/>
  <c r="F132" i="12"/>
  <c r="E132" i="12"/>
  <c r="D132" i="12"/>
  <c r="G130" i="12"/>
  <c r="F130" i="12"/>
  <c r="C128" i="12"/>
  <c r="D126" i="12"/>
  <c r="F125" i="12"/>
  <c r="E125" i="12"/>
  <c r="D125" i="12"/>
  <c r="G124" i="12"/>
  <c r="F124" i="12"/>
  <c r="E124" i="12"/>
  <c r="D124" i="12"/>
  <c r="F123" i="12"/>
  <c r="E123" i="12"/>
  <c r="D123" i="12"/>
  <c r="G122" i="12"/>
  <c r="F122" i="12"/>
  <c r="F121" i="12" s="1"/>
  <c r="E122" i="12"/>
  <c r="D122" i="12"/>
  <c r="C120" i="12"/>
  <c r="F116" i="12"/>
  <c r="E116" i="12"/>
  <c r="D116" i="12"/>
  <c r="D115" i="12" s="1"/>
  <c r="G115" i="12"/>
  <c r="C113" i="12"/>
  <c r="D111" i="12"/>
  <c r="F110" i="12"/>
  <c r="E110" i="12"/>
  <c r="G108" i="12"/>
  <c r="G106" i="12" s="1"/>
  <c r="F108" i="12"/>
  <c r="E108" i="12"/>
  <c r="D108" i="12"/>
  <c r="F107" i="12"/>
  <c r="E107" i="12"/>
  <c r="D107" i="12"/>
  <c r="C105" i="12"/>
  <c r="F102" i="12"/>
  <c r="E102" i="12"/>
  <c r="D102" i="12"/>
  <c r="G100" i="12"/>
  <c r="C98" i="12"/>
  <c r="G95" i="12"/>
  <c r="F95" i="12"/>
  <c r="E95" i="12"/>
  <c r="D95" i="12"/>
  <c r="G94" i="12"/>
  <c r="F94" i="12"/>
  <c r="E94" i="12"/>
  <c r="D94" i="12"/>
  <c r="G93" i="12"/>
  <c r="F93" i="12"/>
  <c r="E93" i="12"/>
  <c r="E92" i="12" s="1"/>
  <c r="D93" i="12"/>
  <c r="G92" i="12"/>
  <c r="F92" i="12"/>
  <c r="C91" i="12"/>
  <c r="G86" i="12"/>
  <c r="D86" i="12"/>
  <c r="C84" i="12"/>
  <c r="G81" i="12"/>
  <c r="F81" i="12"/>
  <c r="E81" i="12"/>
  <c r="D81" i="12"/>
  <c r="G79" i="12"/>
  <c r="F79" i="12"/>
  <c r="E79" i="12"/>
  <c r="D79" i="12"/>
  <c r="D77" i="12" s="1"/>
  <c r="C76" i="12"/>
  <c r="G71" i="12"/>
  <c r="G70" i="12" s="1"/>
  <c r="D71" i="12"/>
  <c r="C69" i="12"/>
  <c r="F65" i="12"/>
  <c r="E65" i="12"/>
  <c r="D65" i="12"/>
  <c r="G64" i="12"/>
  <c r="F64" i="12"/>
  <c r="E64" i="12"/>
  <c r="D64" i="12"/>
  <c r="G63" i="12"/>
  <c r="F63" i="12"/>
  <c r="E63" i="12"/>
  <c r="D63" i="12"/>
  <c r="C62" i="12"/>
  <c r="F59" i="12"/>
  <c r="E59" i="12"/>
  <c r="D59" i="12"/>
  <c r="D57" i="12"/>
  <c r="D56" i="12" s="1"/>
  <c r="C55" i="12"/>
  <c r="F52" i="12"/>
  <c r="E52" i="12"/>
  <c r="D52" i="12"/>
  <c r="G51" i="12"/>
  <c r="F51" i="12"/>
  <c r="E51" i="12"/>
  <c r="D51" i="12"/>
  <c r="G50" i="12"/>
  <c r="F50" i="12"/>
  <c r="E50" i="12"/>
  <c r="D50" i="12"/>
  <c r="G49" i="12"/>
  <c r="F49" i="12"/>
  <c r="E49" i="12"/>
  <c r="D49" i="12"/>
  <c r="G48" i="12"/>
  <c r="F48" i="12"/>
  <c r="E48" i="12"/>
  <c r="D48" i="12"/>
  <c r="C47" i="12"/>
  <c r="G42" i="12"/>
  <c r="D42" i="12"/>
  <c r="D41" i="12" s="1"/>
  <c r="C40" i="12"/>
  <c r="G37" i="12"/>
  <c r="F37" i="12"/>
  <c r="E37" i="12"/>
  <c r="D37" i="12"/>
  <c r="G35" i="12"/>
  <c r="F35" i="12"/>
  <c r="E35" i="12"/>
  <c r="D35" i="12"/>
  <c r="G34" i="12"/>
  <c r="F34" i="12"/>
  <c r="E34" i="12"/>
  <c r="D34" i="12"/>
  <c r="G33" i="12"/>
  <c r="F33" i="12"/>
  <c r="E33" i="12"/>
  <c r="C32" i="12"/>
  <c r="G29" i="12"/>
  <c r="G27" i="12" s="1"/>
  <c r="G26" i="12" s="1"/>
  <c r="F29" i="12"/>
  <c r="E29" i="12"/>
  <c r="D29" i="12"/>
  <c r="F28" i="12"/>
  <c r="E28" i="12"/>
  <c r="D28" i="12"/>
  <c r="C25" i="12"/>
  <c r="G24" i="12"/>
  <c r="F24" i="12"/>
  <c r="E24" i="12"/>
  <c r="D24" i="12"/>
  <c r="G21" i="12"/>
  <c r="F21" i="12"/>
  <c r="F19" i="12" s="1"/>
  <c r="E21" i="12"/>
  <c r="D21" i="12"/>
  <c r="D19" i="12" s="1"/>
  <c r="F20" i="12"/>
  <c r="E20" i="12"/>
  <c r="E19" i="12" s="1"/>
  <c r="D20" i="12"/>
  <c r="G19" i="12"/>
  <c r="C18" i="12"/>
  <c r="G12" i="12"/>
  <c r="F12" i="12"/>
  <c r="E12" i="12"/>
  <c r="D12" i="12"/>
  <c r="D9" i="12" s="1"/>
  <c r="G9" i="12"/>
  <c r="G93" i="7"/>
  <c r="F93" i="7"/>
  <c r="E93" i="7"/>
  <c r="D93" i="7"/>
  <c r="F154" i="7"/>
  <c r="D154" i="7"/>
  <c r="D78" i="7"/>
  <c r="E78" i="7"/>
  <c r="G64" i="7"/>
  <c r="F64" i="7"/>
  <c r="E64" i="7"/>
  <c r="D64" i="7"/>
  <c r="D92" i="12" l="1"/>
  <c r="D33" i="12"/>
  <c r="F57" i="12"/>
  <c r="F56" i="12" s="1"/>
  <c r="D70" i="12"/>
  <c r="F27" i="12"/>
  <c r="F26" i="12" s="1"/>
  <c r="F146" i="12"/>
  <c r="E9" i="12"/>
  <c r="E8" i="12" s="1"/>
  <c r="E115" i="12"/>
  <c r="F77" i="12"/>
  <c r="F70" i="12" s="1"/>
  <c r="G8" i="12"/>
  <c r="D85" i="12"/>
  <c r="D27" i="12"/>
  <c r="D26" i="12" s="1"/>
  <c r="E77" i="12"/>
  <c r="E70" i="12" s="1"/>
  <c r="E27" i="12"/>
  <c r="E26" i="12" s="1"/>
  <c r="G85" i="12"/>
  <c r="E106" i="12"/>
  <c r="E41" i="12"/>
  <c r="E85" i="12"/>
  <c r="F137" i="12"/>
  <c r="F8" i="12"/>
  <c r="G41" i="12"/>
  <c r="D106" i="12"/>
  <c r="F114" i="12"/>
  <c r="G121" i="12"/>
  <c r="D130" i="12"/>
  <c r="D129" i="12" s="1"/>
  <c r="E146" i="12"/>
  <c r="E145" i="12" s="1"/>
  <c r="D8" i="12"/>
  <c r="F85" i="12"/>
  <c r="E121" i="12"/>
  <c r="F153" i="12"/>
  <c r="F145" i="12" s="1"/>
  <c r="E100" i="12"/>
  <c r="E99" i="12" s="1"/>
  <c r="F106" i="12"/>
  <c r="F99" i="12" s="1"/>
  <c r="E130" i="12"/>
  <c r="E129" i="12" s="1"/>
  <c r="G145" i="12"/>
  <c r="F129" i="12"/>
  <c r="G99" i="12"/>
  <c r="G114" i="12"/>
  <c r="G56" i="12"/>
  <c r="D146" i="12"/>
  <c r="D145" i="12" s="1"/>
  <c r="D121" i="12"/>
  <c r="G129" i="12"/>
  <c r="D100" i="12"/>
  <c r="E57" i="12"/>
  <c r="E56" i="12" s="1"/>
  <c r="E114" i="12" l="1"/>
  <c r="D114" i="12"/>
  <c r="D99" i="12"/>
  <c r="G11" i="9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F78" i="5"/>
  <c r="E78" i="5"/>
  <c r="D78" i="5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N144" i="9" s="1"/>
  <c r="M152" i="9"/>
  <c r="L152" i="9"/>
  <c r="K152" i="9"/>
  <c r="J152" i="9"/>
  <c r="J144" i="9" s="1"/>
  <c r="I152" i="9"/>
  <c r="H152" i="9"/>
  <c r="D152" i="9"/>
  <c r="P151" i="9"/>
  <c r="C151" i="9"/>
  <c r="G150" i="9"/>
  <c r="F150" i="9"/>
  <c r="E150" i="9"/>
  <c r="D150" i="9"/>
  <c r="P149" i="9"/>
  <c r="P148" i="9"/>
  <c r="G147" i="9"/>
  <c r="G145" i="9" s="1"/>
  <c r="F147" i="9"/>
  <c r="E147" i="9"/>
  <c r="E145" i="9" s="1"/>
  <c r="D147" i="9"/>
  <c r="P146" i="9"/>
  <c r="O145" i="9"/>
  <c r="N145" i="9"/>
  <c r="M145" i="9"/>
  <c r="L145" i="9"/>
  <c r="K145" i="9"/>
  <c r="J145" i="9"/>
  <c r="I145" i="9"/>
  <c r="H145" i="9"/>
  <c r="F145" i="9"/>
  <c r="D145" i="9"/>
  <c r="O144" i="9"/>
  <c r="M144" i="9"/>
  <c r="L144" i="9"/>
  <c r="K144" i="9"/>
  <c r="I144" i="9"/>
  <c r="H144" i="9"/>
  <c r="P143" i="9"/>
  <c r="C143" i="9"/>
  <c r="P142" i="9"/>
  <c r="P141" i="9"/>
  <c r="F140" i="9"/>
  <c r="E140" i="9"/>
  <c r="D140" i="9"/>
  <c r="P140" i="9" s="1"/>
  <c r="P139" i="9"/>
  <c r="P138" i="9"/>
  <c r="G137" i="9"/>
  <c r="F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E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E128" i="9" s="1"/>
  <c r="D131" i="9"/>
  <c r="P130" i="9"/>
  <c r="O129" i="9"/>
  <c r="N129" i="9"/>
  <c r="M129" i="9"/>
  <c r="L129" i="9"/>
  <c r="K129" i="9"/>
  <c r="J129" i="9"/>
  <c r="I129" i="9"/>
  <c r="H129" i="9"/>
  <c r="G129" i="9"/>
  <c r="F129" i="9"/>
  <c r="O128" i="9"/>
  <c r="N128" i="9"/>
  <c r="M128" i="9"/>
  <c r="L128" i="9"/>
  <c r="K128" i="9"/>
  <c r="J128" i="9"/>
  <c r="I128" i="9"/>
  <c r="H128" i="9"/>
  <c r="G128" i="9"/>
  <c r="F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O113" i="9" s="1"/>
  <c r="N120" i="9"/>
  <c r="M120" i="9"/>
  <c r="M113" i="9" s="1"/>
  <c r="L120" i="9"/>
  <c r="K120" i="9"/>
  <c r="K113" i="9" s="1"/>
  <c r="J120" i="9"/>
  <c r="I120" i="9"/>
  <c r="I113" i="9" s="1"/>
  <c r="H120" i="9"/>
  <c r="D120" i="9"/>
  <c r="P119" i="9"/>
  <c r="C119" i="9"/>
  <c r="P118" i="9"/>
  <c r="P117" i="9"/>
  <c r="P116" i="9"/>
  <c r="F115" i="9"/>
  <c r="E115" i="9"/>
  <c r="D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N113" i="9"/>
  <c r="L113" i="9"/>
  <c r="J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P100" i="9"/>
  <c r="O99" i="9"/>
  <c r="N99" i="9"/>
  <c r="M99" i="9"/>
  <c r="L99" i="9"/>
  <c r="K99" i="9"/>
  <c r="J99" i="9"/>
  <c r="I99" i="9"/>
  <c r="H99" i="9"/>
  <c r="F99" i="9"/>
  <c r="D99" i="9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N85" i="9"/>
  <c r="M85" i="9"/>
  <c r="L85" i="9"/>
  <c r="K85" i="9"/>
  <c r="J85" i="9"/>
  <c r="I85" i="9"/>
  <c r="H85" i="9"/>
  <c r="F85" i="9"/>
  <c r="D85" i="9"/>
  <c r="O84" i="9"/>
  <c r="N84" i="9"/>
  <c r="M84" i="9"/>
  <c r="L84" i="9"/>
  <c r="K84" i="9"/>
  <c r="J84" i="9"/>
  <c r="I84" i="9"/>
  <c r="H84" i="9"/>
  <c r="F84" i="9"/>
  <c r="P83" i="9"/>
  <c r="C83" i="9"/>
  <c r="P82" i="9"/>
  <c r="P81" i="9"/>
  <c r="G80" i="9"/>
  <c r="F80" i="9"/>
  <c r="E80" i="9"/>
  <c r="D80" i="9"/>
  <c r="D76" i="9" s="1"/>
  <c r="P76" i="9" s="1"/>
  <c r="P79" i="9"/>
  <c r="P78" i="9"/>
  <c r="G77" i="9"/>
  <c r="F77" i="9"/>
  <c r="E77" i="9"/>
  <c r="D77" i="9"/>
  <c r="O76" i="9"/>
  <c r="N76" i="9"/>
  <c r="N69" i="9" s="1"/>
  <c r="M76" i="9"/>
  <c r="L76" i="9"/>
  <c r="L69" i="9" s="1"/>
  <c r="K76" i="9"/>
  <c r="J76" i="9"/>
  <c r="J69" i="9" s="1"/>
  <c r="I76" i="9"/>
  <c r="H76" i="9"/>
  <c r="H69" i="9" s="1"/>
  <c r="G76" i="9"/>
  <c r="F76" i="9"/>
  <c r="E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L70" i="9"/>
  <c r="K70" i="9"/>
  <c r="J70" i="9"/>
  <c r="I70" i="9"/>
  <c r="H70" i="9"/>
  <c r="G70" i="9"/>
  <c r="E70" i="9"/>
  <c r="O69" i="9"/>
  <c r="M69" i="9"/>
  <c r="K69" i="9"/>
  <c r="I69" i="9"/>
  <c r="G69" i="9"/>
  <c r="E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N55" i="9" s="1"/>
  <c r="M62" i="9"/>
  <c r="L62" i="9"/>
  <c r="L55" i="9" s="1"/>
  <c r="K62" i="9"/>
  <c r="J62" i="9"/>
  <c r="J55" i="9" s="1"/>
  <c r="I62" i="9"/>
  <c r="H62" i="9"/>
  <c r="H55" i="9" s="1"/>
  <c r="P61" i="9"/>
  <c r="C61" i="9"/>
  <c r="P60" i="9"/>
  <c r="P59" i="9"/>
  <c r="F58" i="9"/>
  <c r="F56" i="9" s="1"/>
  <c r="E58" i="9"/>
  <c r="D58" i="9"/>
  <c r="P58" i="9" s="1"/>
  <c r="P57" i="9"/>
  <c r="O56" i="9"/>
  <c r="N56" i="9"/>
  <c r="M56" i="9"/>
  <c r="L56" i="9"/>
  <c r="K56" i="9"/>
  <c r="J56" i="9"/>
  <c r="I56" i="9"/>
  <c r="I55" i="9" s="1"/>
  <c r="H56" i="9"/>
  <c r="G56" i="9"/>
  <c r="E56" i="9"/>
  <c r="O55" i="9"/>
  <c r="M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E46" i="9" s="1"/>
  <c r="E39" i="9" s="1"/>
  <c r="D49" i="9"/>
  <c r="P48" i="9"/>
  <c r="G47" i="9"/>
  <c r="F47" i="9"/>
  <c r="E47" i="9"/>
  <c r="D47" i="9"/>
  <c r="O46" i="9"/>
  <c r="N46" i="9"/>
  <c r="N39" i="9" s="1"/>
  <c r="M46" i="9"/>
  <c r="L46" i="9"/>
  <c r="L39" i="9" s="1"/>
  <c r="K46" i="9"/>
  <c r="J46" i="9"/>
  <c r="J39" i="9" s="1"/>
  <c r="I46" i="9"/>
  <c r="H46" i="9"/>
  <c r="H39" i="9" s="1"/>
  <c r="F46" i="9"/>
  <c r="D46" i="9"/>
  <c r="P45" i="9"/>
  <c r="C45" i="9"/>
  <c r="G44" i="9"/>
  <c r="F44" i="9"/>
  <c r="F40" i="9" s="1"/>
  <c r="E44" i="9"/>
  <c r="D44" i="9"/>
  <c r="D40" i="9" s="1"/>
  <c r="P43" i="9"/>
  <c r="P42" i="9"/>
  <c r="P41" i="9"/>
  <c r="O40" i="9"/>
  <c r="N40" i="9"/>
  <c r="M40" i="9"/>
  <c r="L40" i="9"/>
  <c r="K40" i="9"/>
  <c r="J40" i="9"/>
  <c r="I40" i="9"/>
  <c r="H40" i="9"/>
  <c r="G40" i="9"/>
  <c r="E40" i="9"/>
  <c r="O39" i="9"/>
  <c r="M39" i="9"/>
  <c r="K39" i="9"/>
  <c r="I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E31" i="9" s="1"/>
  <c r="D32" i="9"/>
  <c r="O31" i="9"/>
  <c r="O24" i="9" s="1"/>
  <c r="N31" i="9"/>
  <c r="M31" i="9"/>
  <c r="M24" i="9" s="1"/>
  <c r="L31" i="9"/>
  <c r="K31" i="9"/>
  <c r="K24" i="9" s="1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M25" i="9"/>
  <c r="L25" i="9"/>
  <c r="K25" i="9"/>
  <c r="J25" i="9"/>
  <c r="I25" i="9"/>
  <c r="H25" i="9"/>
  <c r="F25" i="9"/>
  <c r="D25" i="9"/>
  <c r="N24" i="9"/>
  <c r="L24" i="9"/>
  <c r="J24" i="9"/>
  <c r="H24" i="9"/>
  <c r="P23" i="9"/>
  <c r="C23" i="9"/>
  <c r="G22" i="9"/>
  <c r="G17" i="9" s="1"/>
  <c r="F22" i="9"/>
  <c r="E22" i="9"/>
  <c r="D22" i="9"/>
  <c r="D17" i="9" s="1"/>
  <c r="P21" i="9"/>
  <c r="P20" i="9"/>
  <c r="F18" i="9"/>
  <c r="E18" i="9"/>
  <c r="E17" i="9" s="1"/>
  <c r="D18" i="9"/>
  <c r="O17" i="9"/>
  <c r="O6" i="9" s="1"/>
  <c r="N17" i="9"/>
  <c r="M17" i="9"/>
  <c r="M6" i="9" s="1"/>
  <c r="L17" i="9"/>
  <c r="K17" i="9"/>
  <c r="K6" i="9" s="1"/>
  <c r="J17" i="9"/>
  <c r="I17" i="9"/>
  <c r="I6" i="9" s="1"/>
  <c r="H17" i="9"/>
  <c r="P16" i="9"/>
  <c r="C16" i="9"/>
  <c r="P15" i="9"/>
  <c r="P14" i="9"/>
  <c r="P13" i="9"/>
  <c r="P12" i="9"/>
  <c r="P11" i="9"/>
  <c r="G10" i="9"/>
  <c r="F10" i="9"/>
  <c r="F7" i="9" s="1"/>
  <c r="E10" i="9"/>
  <c r="D10" i="9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E7" i="9"/>
  <c r="D7" i="9"/>
  <c r="N6" i="9"/>
  <c r="L6" i="9"/>
  <c r="P129" i="9" l="1"/>
  <c r="D69" i="9"/>
  <c r="P69" i="9" s="1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P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24" i="9" s="1"/>
  <c r="P17" i="9"/>
  <c r="P19" i="9"/>
  <c r="D6" i="9"/>
  <c r="F131" i="8"/>
  <c r="F129" i="8" s="1"/>
  <c r="F128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P58" i="8" s="1"/>
  <c r="D58" i="8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L144" i="8" s="1"/>
  <c r="K152" i="8"/>
  <c r="J152" i="8"/>
  <c r="I152" i="8"/>
  <c r="I144" i="8" s="1"/>
  <c r="H152" i="8"/>
  <c r="H144" i="8" s="1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H69" i="8" s="1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L39" i="8" l="1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C25" i="6"/>
  <c r="C85" i="4"/>
  <c r="C76" i="4"/>
  <c r="C67" i="4"/>
  <c r="C58" i="4"/>
  <c r="C50" i="4"/>
  <c r="C53" i="2" l="1"/>
  <c r="G139" i="7" l="1"/>
  <c r="E60" i="4" l="1"/>
  <c r="F60" i="4"/>
  <c r="G60" i="4"/>
  <c r="D60" i="4"/>
  <c r="F141" i="7" l="1"/>
  <c r="E141" i="7"/>
  <c r="D141" i="7"/>
  <c r="F52" i="7"/>
  <c r="E52" i="7"/>
  <c r="D52" i="7"/>
  <c r="F116" i="7"/>
  <c r="E116" i="7"/>
  <c r="D116" i="7"/>
  <c r="G9" i="4" l="1"/>
  <c r="G17" i="4"/>
  <c r="G35" i="4"/>
  <c r="G52" i="4"/>
  <c r="G69" i="4"/>
  <c r="G78" i="4"/>
  <c r="G87" i="4"/>
  <c r="C94" i="4"/>
  <c r="C41" i="4"/>
  <c r="C33" i="4"/>
  <c r="C24" i="4"/>
  <c r="C15" i="4"/>
  <c r="C76" i="6"/>
  <c r="G20" i="6"/>
  <c r="C84" i="6"/>
  <c r="C68" i="6"/>
  <c r="C61" i="6"/>
  <c r="C53" i="6"/>
  <c r="C39" i="6"/>
  <c r="C32" i="6"/>
  <c r="C18" i="6"/>
  <c r="C46" i="6"/>
  <c r="C61" i="2"/>
  <c r="C76" i="2"/>
  <c r="C84" i="2"/>
  <c r="C68" i="2"/>
  <c r="C46" i="2"/>
  <c r="C39" i="2"/>
  <c r="C32" i="2"/>
  <c r="C25" i="2"/>
  <c r="C18" i="2"/>
  <c r="G115" i="7"/>
  <c r="G63" i="7"/>
  <c r="G57" i="7"/>
  <c r="C160" i="7"/>
  <c r="C152" i="7"/>
  <c r="C144" i="7"/>
  <c r="C136" i="7"/>
  <c r="C128" i="7"/>
  <c r="C120" i="7"/>
  <c r="C113" i="7"/>
  <c r="C105" i="7"/>
  <c r="C98" i="7"/>
  <c r="C91" i="7"/>
  <c r="C84" i="7"/>
  <c r="C76" i="7"/>
  <c r="C69" i="7"/>
  <c r="C62" i="7"/>
  <c r="C55" i="7"/>
  <c r="C47" i="7"/>
  <c r="C40" i="7"/>
  <c r="C32" i="7"/>
  <c r="C25" i="7"/>
  <c r="C18" i="7"/>
  <c r="C161" i="1"/>
  <c r="C153" i="1"/>
  <c r="C145" i="1"/>
  <c r="C137" i="1"/>
  <c r="C129" i="1"/>
  <c r="C121" i="1"/>
  <c r="C114" i="1"/>
  <c r="C106" i="1"/>
  <c r="C98" i="1"/>
  <c r="C91" i="1"/>
  <c r="C84" i="1"/>
  <c r="C76" i="1"/>
  <c r="C69" i="1"/>
  <c r="C62" i="1"/>
  <c r="C55" i="1"/>
  <c r="C47" i="1"/>
  <c r="C40" i="1"/>
  <c r="C32" i="1"/>
  <c r="C25" i="1"/>
  <c r="C18" i="1"/>
  <c r="G154" i="1"/>
  <c r="G147" i="1"/>
  <c r="G138" i="1"/>
  <c r="G131" i="1"/>
  <c r="G122" i="1"/>
  <c r="G116" i="1"/>
  <c r="G107" i="1"/>
  <c r="G100" i="1"/>
  <c r="G92" i="1"/>
  <c r="G86" i="1"/>
  <c r="G77" i="1"/>
  <c r="G71" i="1"/>
  <c r="G57" i="1"/>
  <c r="G48" i="1"/>
  <c r="G42" i="1"/>
  <c r="G33" i="1"/>
  <c r="G27" i="1"/>
  <c r="G19" i="1"/>
  <c r="G9" i="1"/>
  <c r="G74" i="5"/>
  <c r="G67" i="5"/>
  <c r="G53" i="5"/>
  <c r="G46" i="5"/>
  <c r="G39" i="5"/>
  <c r="G32" i="5"/>
  <c r="G25" i="5"/>
  <c r="G18" i="5"/>
  <c r="G9" i="5"/>
  <c r="G8" i="5" s="1"/>
  <c r="G122" i="7"/>
  <c r="F122" i="7"/>
  <c r="E122" i="7"/>
  <c r="D122" i="7"/>
  <c r="G56" i="7" l="1"/>
  <c r="G130" i="1"/>
  <c r="G115" i="1"/>
  <c r="G146" i="1"/>
  <c r="G99" i="1"/>
  <c r="G70" i="1"/>
  <c r="F107" i="7"/>
  <c r="E107" i="7"/>
  <c r="D107" i="7"/>
  <c r="C79" i="5" l="1"/>
  <c r="C72" i="5"/>
  <c r="C65" i="5"/>
  <c r="C58" i="5"/>
  <c r="C51" i="5"/>
  <c r="C44" i="5"/>
  <c r="C37" i="5"/>
  <c r="C30" i="5"/>
  <c r="C23" i="5"/>
  <c r="C16" i="5"/>
  <c r="F27" i="5"/>
  <c r="E27" i="5"/>
  <c r="D27" i="5"/>
  <c r="F19" i="5"/>
  <c r="E19" i="5"/>
  <c r="D19" i="5"/>
  <c r="G26" i="4" l="1"/>
  <c r="D75" i="6"/>
  <c r="G78" i="2"/>
  <c r="G70" i="2"/>
  <c r="G63" i="2"/>
  <c r="G55" i="2"/>
  <c r="G48" i="2"/>
  <c r="G41" i="2"/>
  <c r="G34" i="2"/>
  <c r="G27" i="2"/>
  <c r="G20" i="2"/>
  <c r="G9" i="2"/>
  <c r="G81" i="7"/>
  <c r="G79" i="7"/>
  <c r="G41" i="1"/>
  <c r="G26" i="1"/>
  <c r="G8" i="1"/>
  <c r="G85" i="1"/>
  <c r="G63" i="1"/>
  <c r="G56" i="1" s="1"/>
  <c r="G60" i="5"/>
  <c r="G17" i="5"/>
  <c r="D28" i="7"/>
  <c r="G77" i="7" l="1"/>
  <c r="G157" i="7"/>
  <c r="F157" i="7"/>
  <c r="E157" i="7"/>
  <c r="D157" i="7"/>
  <c r="G155" i="7"/>
  <c r="F155" i="7"/>
  <c r="E155" i="7"/>
  <c r="D155" i="7"/>
  <c r="G151" i="7"/>
  <c r="F151" i="7"/>
  <c r="E151" i="7"/>
  <c r="D151" i="7"/>
  <c r="G148" i="7"/>
  <c r="G146" i="7" s="1"/>
  <c r="F148" i="7"/>
  <c r="F146" i="7" s="1"/>
  <c r="E148" i="7"/>
  <c r="E146" i="7" s="1"/>
  <c r="D148" i="7"/>
  <c r="F139" i="7"/>
  <c r="E139" i="7"/>
  <c r="D139" i="7"/>
  <c r="G137" i="7"/>
  <c r="G135" i="7"/>
  <c r="G130" i="7" s="1"/>
  <c r="F135" i="7"/>
  <c r="E135" i="7"/>
  <c r="D135" i="7"/>
  <c r="F132" i="7"/>
  <c r="E132" i="7"/>
  <c r="D132" i="7"/>
  <c r="D130" i="7" s="1"/>
  <c r="F125" i="7"/>
  <c r="E125" i="7"/>
  <c r="D125" i="7"/>
  <c r="D126" i="7"/>
  <c r="G124" i="7"/>
  <c r="G121" i="7" s="1"/>
  <c r="G114" i="7" s="1"/>
  <c r="F124" i="7"/>
  <c r="E124" i="7"/>
  <c r="D124" i="7"/>
  <c r="F123" i="7"/>
  <c r="E123" i="7"/>
  <c r="D123" i="7"/>
  <c r="F115" i="7"/>
  <c r="E115" i="7"/>
  <c r="D115" i="7"/>
  <c r="F110" i="7"/>
  <c r="E110" i="7"/>
  <c r="D111" i="7"/>
  <c r="G108" i="7"/>
  <c r="G106" i="7" s="1"/>
  <c r="F108" i="7"/>
  <c r="F106" i="7" s="1"/>
  <c r="E108" i="7"/>
  <c r="E106" i="7" s="1"/>
  <c r="D108" i="7"/>
  <c r="D106" i="7" s="1"/>
  <c r="G104" i="7"/>
  <c r="G100" i="7" s="1"/>
  <c r="G99" i="7" s="1"/>
  <c r="F104" i="7"/>
  <c r="E104" i="7"/>
  <c r="D104" i="7"/>
  <c r="F102" i="7"/>
  <c r="E102" i="7"/>
  <c r="D102" i="7"/>
  <c r="G95" i="7"/>
  <c r="F95" i="7"/>
  <c r="E95" i="7"/>
  <c r="D95" i="7"/>
  <c r="G94" i="7"/>
  <c r="G92" i="7" s="1"/>
  <c r="F94" i="7"/>
  <c r="E94" i="7"/>
  <c r="D94" i="7"/>
  <c r="D92" i="7" s="1"/>
  <c r="G90" i="7"/>
  <c r="F90" i="7"/>
  <c r="E90" i="7"/>
  <c r="E86" i="7" s="1"/>
  <c r="D90" i="7"/>
  <c r="D86" i="7" s="1"/>
  <c r="F81" i="7"/>
  <c r="E81" i="7"/>
  <c r="D81" i="7"/>
  <c r="F79" i="7"/>
  <c r="E79" i="7"/>
  <c r="D79" i="7"/>
  <c r="G75" i="7"/>
  <c r="G71" i="7" s="1"/>
  <c r="F75" i="7"/>
  <c r="F71" i="7" s="1"/>
  <c r="E75" i="7"/>
  <c r="D75" i="7"/>
  <c r="D71" i="7" s="1"/>
  <c r="F65" i="7"/>
  <c r="E65" i="7"/>
  <c r="D65" i="7"/>
  <c r="F59" i="7"/>
  <c r="E59" i="7"/>
  <c r="E57" i="7" s="1"/>
  <c r="D59" i="7"/>
  <c r="D57" i="7" s="1"/>
  <c r="G51" i="7"/>
  <c r="F51" i="7"/>
  <c r="E51" i="7"/>
  <c r="D51" i="7"/>
  <c r="G50" i="7"/>
  <c r="F50" i="7"/>
  <c r="E50" i="7"/>
  <c r="D50" i="7"/>
  <c r="G49" i="7"/>
  <c r="G48" i="7" s="1"/>
  <c r="F49" i="7"/>
  <c r="F48" i="7" s="1"/>
  <c r="E49" i="7"/>
  <c r="E48" i="7" s="1"/>
  <c r="D49" i="7"/>
  <c r="G46" i="7"/>
  <c r="G42" i="7" s="1"/>
  <c r="F46" i="7"/>
  <c r="F42" i="7" s="1"/>
  <c r="E46" i="7"/>
  <c r="E42" i="7" s="1"/>
  <c r="D46" i="7"/>
  <c r="D42" i="7" s="1"/>
  <c r="G37" i="7"/>
  <c r="F37" i="7"/>
  <c r="E37" i="7"/>
  <c r="D37" i="7"/>
  <c r="G35" i="7"/>
  <c r="F35" i="7"/>
  <c r="E35" i="7"/>
  <c r="D35" i="7"/>
  <c r="G34" i="7"/>
  <c r="G33" i="7" s="1"/>
  <c r="F34" i="7"/>
  <c r="E34" i="7"/>
  <c r="D34" i="7"/>
  <c r="G29" i="7"/>
  <c r="G27" i="7" s="1"/>
  <c r="F29" i="7"/>
  <c r="F27" i="7" s="1"/>
  <c r="E29" i="7"/>
  <c r="D29" i="7"/>
  <c r="F28" i="7"/>
  <c r="E28" i="7"/>
  <c r="F20" i="7"/>
  <c r="E20" i="7"/>
  <c r="G24" i="7"/>
  <c r="F24" i="7"/>
  <c r="E24" i="7"/>
  <c r="D24" i="7"/>
  <c r="G21" i="7"/>
  <c r="G19" i="7" s="1"/>
  <c r="F21" i="7"/>
  <c r="E21" i="7"/>
  <c r="D21" i="7"/>
  <c r="D20" i="7"/>
  <c r="G12" i="7"/>
  <c r="G9" i="7" s="1"/>
  <c r="F12" i="7"/>
  <c r="F9" i="7" s="1"/>
  <c r="E12" i="7"/>
  <c r="E9" i="7" s="1"/>
  <c r="D12" i="7"/>
  <c r="D9" i="7" s="1"/>
  <c r="F86" i="7"/>
  <c r="E71" i="7"/>
  <c r="F57" i="7"/>
  <c r="G83" i="6"/>
  <c r="F83" i="6"/>
  <c r="E83" i="6"/>
  <c r="D83" i="6"/>
  <c r="G80" i="6"/>
  <c r="G78" i="6" s="1"/>
  <c r="G77" i="6" s="1"/>
  <c r="F80" i="6"/>
  <c r="E80" i="6"/>
  <c r="D80" i="6"/>
  <c r="G75" i="6"/>
  <c r="G70" i="6" s="1"/>
  <c r="G69" i="6" s="1"/>
  <c r="F75" i="6"/>
  <c r="E75" i="6"/>
  <c r="F72" i="6"/>
  <c r="E72" i="6"/>
  <c r="D72" i="6"/>
  <c r="G65" i="6"/>
  <c r="G63" i="6" s="1"/>
  <c r="F65" i="6"/>
  <c r="E65" i="6"/>
  <c r="D65" i="6"/>
  <c r="G38" i="6"/>
  <c r="G34" i="6" s="1"/>
  <c r="F38" i="6"/>
  <c r="E38" i="6"/>
  <c r="D38" i="6"/>
  <c r="G43" i="6"/>
  <c r="G41" i="6" s="1"/>
  <c r="F43" i="6"/>
  <c r="E43" i="6"/>
  <c r="E41" i="6" s="1"/>
  <c r="E40" i="6" s="1"/>
  <c r="D43" i="6"/>
  <c r="D41" i="6" s="1"/>
  <c r="G60" i="6"/>
  <c r="F60" i="6"/>
  <c r="E60" i="6"/>
  <c r="D60" i="6"/>
  <c r="G52" i="6"/>
  <c r="G48" i="6" s="1"/>
  <c r="G47" i="6" s="1"/>
  <c r="F52" i="6"/>
  <c r="E52" i="6"/>
  <c r="D52" i="6"/>
  <c r="D48" i="6" s="1"/>
  <c r="G57" i="6"/>
  <c r="F57" i="6"/>
  <c r="E57" i="6"/>
  <c r="D57" i="6"/>
  <c r="G56" i="6"/>
  <c r="F56" i="6"/>
  <c r="E56" i="6"/>
  <c r="D56" i="6"/>
  <c r="F41" i="6"/>
  <c r="F40" i="6" s="1"/>
  <c r="F28" i="6"/>
  <c r="G31" i="6"/>
  <c r="G27" i="6" s="1"/>
  <c r="F31" i="6"/>
  <c r="E31" i="6"/>
  <c r="D31" i="6"/>
  <c r="E27" i="6"/>
  <c r="E26" i="6" s="1"/>
  <c r="D28" i="6"/>
  <c r="G19" i="6"/>
  <c r="F22" i="6"/>
  <c r="E22" i="6"/>
  <c r="E20" i="6" s="1"/>
  <c r="E19" i="6" s="1"/>
  <c r="D22" i="6"/>
  <c r="G12" i="6"/>
  <c r="G9" i="6" s="1"/>
  <c r="F12" i="6"/>
  <c r="E12" i="6"/>
  <c r="E9" i="6" s="1"/>
  <c r="E8" i="6" s="1"/>
  <c r="D12" i="6"/>
  <c r="F78" i="6"/>
  <c r="F77" i="6" s="1"/>
  <c r="E78" i="6"/>
  <c r="E77" i="6" s="1"/>
  <c r="D78" i="6"/>
  <c r="D77" i="6" s="1"/>
  <c r="F70" i="6"/>
  <c r="F69" i="6" s="1"/>
  <c r="E70" i="6"/>
  <c r="E69" i="6" s="1"/>
  <c r="D70" i="6"/>
  <c r="F63" i="6"/>
  <c r="F62" i="6" s="1"/>
  <c r="E63" i="6"/>
  <c r="E62" i="6" s="1"/>
  <c r="D63" i="6"/>
  <c r="G62" i="6"/>
  <c r="F48" i="6"/>
  <c r="F47" i="6" s="1"/>
  <c r="E48" i="6"/>
  <c r="E47" i="6" s="1"/>
  <c r="G40" i="6"/>
  <c r="G33" i="6"/>
  <c r="F34" i="6"/>
  <c r="F33" i="6" s="1"/>
  <c r="E34" i="6"/>
  <c r="E33" i="6" s="1"/>
  <c r="D34" i="6"/>
  <c r="G26" i="6"/>
  <c r="F20" i="6"/>
  <c r="F19" i="6" s="1"/>
  <c r="D9" i="6"/>
  <c r="D8" i="6" s="1"/>
  <c r="G8" i="6"/>
  <c r="G73" i="5"/>
  <c r="E74" i="5"/>
  <c r="E73" i="5" s="1"/>
  <c r="F74" i="5"/>
  <c r="F73" i="5" s="1"/>
  <c r="D74" i="5"/>
  <c r="D73" i="5" s="1"/>
  <c r="E67" i="5"/>
  <c r="E66" i="5" s="1"/>
  <c r="F67" i="5"/>
  <c r="F66" i="5" s="1"/>
  <c r="G66" i="5"/>
  <c r="D67" i="5"/>
  <c r="D66" i="5" s="1"/>
  <c r="G59" i="5"/>
  <c r="E53" i="5"/>
  <c r="E52" i="5" s="1"/>
  <c r="F53" i="5"/>
  <c r="F52" i="5" s="1"/>
  <c r="G52" i="5"/>
  <c r="D53" i="5"/>
  <c r="D52" i="5" s="1"/>
  <c r="G45" i="5"/>
  <c r="G38" i="5"/>
  <c r="D39" i="5"/>
  <c r="D38" i="5" s="1"/>
  <c r="E32" i="5"/>
  <c r="E31" i="5" s="1"/>
  <c r="F32" i="5"/>
  <c r="F31" i="5" s="1"/>
  <c r="G31" i="5"/>
  <c r="D32" i="5"/>
  <c r="D31" i="5" s="1"/>
  <c r="D18" i="5"/>
  <c r="D17" i="5" s="1"/>
  <c r="E9" i="5"/>
  <c r="E8" i="5" s="1"/>
  <c r="F9" i="5"/>
  <c r="F8" i="5" s="1"/>
  <c r="D9" i="5"/>
  <c r="D8" i="5" s="1"/>
  <c r="F60" i="5"/>
  <c r="F59" i="5" s="1"/>
  <c r="E60" i="5"/>
  <c r="E59" i="5" s="1"/>
  <c r="D60" i="5"/>
  <c r="D59" i="5" s="1"/>
  <c r="F46" i="5"/>
  <c r="F45" i="5" s="1"/>
  <c r="E46" i="5"/>
  <c r="E45" i="5" s="1"/>
  <c r="D46" i="5"/>
  <c r="D45" i="5" s="1"/>
  <c r="F39" i="5"/>
  <c r="F38" i="5" s="1"/>
  <c r="E39" i="5"/>
  <c r="E38" i="5" s="1"/>
  <c r="G24" i="5"/>
  <c r="F25" i="5"/>
  <c r="F24" i="5" s="1"/>
  <c r="E25" i="5"/>
  <c r="E24" i="5" s="1"/>
  <c r="D25" i="5"/>
  <c r="D24" i="5" s="1"/>
  <c r="F18" i="5"/>
  <c r="F17" i="5" s="1"/>
  <c r="E18" i="5"/>
  <c r="E17" i="5" s="1"/>
  <c r="D33" i="7" l="1"/>
  <c r="E27" i="7"/>
  <c r="E130" i="7"/>
  <c r="F100" i="7"/>
  <c r="F99" i="7" s="1"/>
  <c r="F27" i="6"/>
  <c r="F26" i="6" s="1"/>
  <c r="F55" i="6"/>
  <c r="F54" i="6" s="1"/>
  <c r="D100" i="7"/>
  <c r="D99" i="7" s="1"/>
  <c r="G55" i="6"/>
  <c r="G54" i="6" s="1"/>
  <c r="E100" i="7"/>
  <c r="E99" i="7" s="1"/>
  <c r="F130" i="7"/>
  <c r="G70" i="7"/>
  <c r="G129" i="7"/>
  <c r="G153" i="7"/>
  <c r="G145" i="7" s="1"/>
  <c r="E137" i="7"/>
  <c r="G41" i="7"/>
  <c r="G86" i="7"/>
  <c r="G85" i="7" s="1"/>
  <c r="G8" i="7"/>
  <c r="G26" i="7"/>
  <c r="F153" i="7"/>
  <c r="F145" i="7" s="1"/>
  <c r="E153" i="7"/>
  <c r="E145" i="7" s="1"/>
  <c r="D153" i="7"/>
  <c r="D146" i="7"/>
  <c r="F137" i="7"/>
  <c r="D137" i="7"/>
  <c r="E121" i="7"/>
  <c r="E114" i="7" s="1"/>
  <c r="D121" i="7"/>
  <c r="D114" i="7" s="1"/>
  <c r="F33" i="7"/>
  <c r="F26" i="7" s="1"/>
  <c r="E77" i="7"/>
  <c r="E70" i="7" s="1"/>
  <c r="D48" i="7"/>
  <c r="D41" i="7" s="1"/>
  <c r="E63" i="7"/>
  <c r="E56" i="7" s="1"/>
  <c r="F77" i="7"/>
  <c r="F70" i="7" s="1"/>
  <c r="E92" i="7"/>
  <c r="E85" i="7" s="1"/>
  <c r="F92" i="7"/>
  <c r="F85" i="7" s="1"/>
  <c r="D85" i="7"/>
  <c r="D77" i="7"/>
  <c r="D63" i="7"/>
  <c r="D56" i="7" s="1"/>
  <c r="F63" i="7"/>
  <c r="F56" i="7" s="1"/>
  <c r="F41" i="7"/>
  <c r="E41" i="7"/>
  <c r="E33" i="7"/>
  <c r="E26" i="7" s="1"/>
  <c r="D27" i="7"/>
  <c r="F19" i="7"/>
  <c r="F8" i="7" s="1"/>
  <c r="E19" i="7"/>
  <c r="E8" i="7" s="1"/>
  <c r="D19" i="7"/>
  <c r="F121" i="7"/>
  <c r="F114" i="7" s="1"/>
  <c r="D33" i="6"/>
  <c r="D47" i="6"/>
  <c r="E55" i="6"/>
  <c r="E54" i="6" s="1"/>
  <c r="D55" i="6"/>
  <c r="D40" i="6"/>
  <c r="D27" i="6"/>
  <c r="D26" i="6" s="1"/>
  <c r="D20" i="6"/>
  <c r="F9" i="6"/>
  <c r="F8" i="6" s="1"/>
  <c r="D62" i="6"/>
  <c r="D69" i="6"/>
  <c r="F87" i="4"/>
  <c r="E87" i="4"/>
  <c r="D87" i="4"/>
  <c r="G86" i="4"/>
  <c r="F86" i="4"/>
  <c r="E86" i="4"/>
  <c r="D86" i="4"/>
  <c r="F78" i="4"/>
  <c r="F77" i="4" s="1"/>
  <c r="E78" i="4"/>
  <c r="E77" i="4" s="1"/>
  <c r="D78" i="4"/>
  <c r="D77" i="4" s="1"/>
  <c r="G77" i="4"/>
  <c r="F71" i="4"/>
  <c r="F69" i="4" s="1"/>
  <c r="F68" i="4" s="1"/>
  <c r="E71" i="4"/>
  <c r="E69" i="4" s="1"/>
  <c r="E68" i="4" s="1"/>
  <c r="D69" i="4"/>
  <c r="G68" i="4"/>
  <c r="D68" i="4"/>
  <c r="F59" i="4"/>
  <c r="E59" i="4"/>
  <c r="D59" i="4"/>
  <c r="G59" i="4"/>
  <c r="F52" i="4"/>
  <c r="E52" i="4"/>
  <c r="E51" i="4" s="1"/>
  <c r="D52" i="4"/>
  <c r="D51" i="4" s="1"/>
  <c r="G51" i="4"/>
  <c r="F51" i="4"/>
  <c r="F43" i="4"/>
  <c r="F42" i="4" s="1"/>
  <c r="E43" i="4"/>
  <c r="E42" i="4" s="1"/>
  <c r="D43" i="4"/>
  <c r="D42" i="4" s="1"/>
  <c r="G42" i="4"/>
  <c r="F40" i="4"/>
  <c r="F35" i="4" s="1"/>
  <c r="F34" i="4" s="1"/>
  <c r="E40" i="4"/>
  <c r="D40" i="4"/>
  <c r="D35" i="4" s="1"/>
  <c r="G34" i="4"/>
  <c r="G25" i="4"/>
  <c r="F26" i="4"/>
  <c r="F25" i="4" s="1"/>
  <c r="E26" i="4"/>
  <c r="E25" i="4" s="1"/>
  <c r="D26" i="4"/>
  <c r="F17" i="4"/>
  <c r="F16" i="4" s="1"/>
  <c r="E17" i="4"/>
  <c r="E16" i="4" s="1"/>
  <c r="D17" i="4"/>
  <c r="G16" i="4"/>
  <c r="D16" i="4"/>
  <c r="F9" i="4"/>
  <c r="F8" i="4" s="1"/>
  <c r="E9" i="4"/>
  <c r="E8" i="4" s="1"/>
  <c r="D9" i="4"/>
  <c r="G8" i="4"/>
  <c r="E129" i="7" l="1"/>
  <c r="F129" i="7"/>
  <c r="D8" i="4"/>
  <c r="E35" i="4"/>
  <c r="E34" i="4" s="1"/>
  <c r="D25" i="4"/>
  <c r="D145" i="7"/>
  <c r="D129" i="7"/>
  <c r="D70" i="7"/>
  <c r="D26" i="7"/>
  <c r="D8" i="7"/>
  <c r="D54" i="6"/>
  <c r="D19" i="6"/>
  <c r="D34" i="4"/>
  <c r="E71" i="1" l="1"/>
  <c r="F71" i="1"/>
  <c r="D71" i="1"/>
  <c r="G77" i="2" l="1"/>
  <c r="G69" i="2"/>
  <c r="G62" i="2"/>
  <c r="G54" i="2"/>
  <c r="G47" i="2"/>
  <c r="G40" i="2"/>
  <c r="G33" i="2"/>
  <c r="F78" i="2"/>
  <c r="F77" i="2" s="1"/>
  <c r="E78" i="2"/>
  <c r="E77" i="2" s="1"/>
  <c r="D78" i="2"/>
  <c r="D77" i="2" s="1"/>
  <c r="F72" i="2"/>
  <c r="F70" i="2" s="1"/>
  <c r="F69" i="2" s="1"/>
  <c r="E72" i="2"/>
  <c r="E70" i="2" s="1"/>
  <c r="E69" i="2" s="1"/>
  <c r="D72" i="2"/>
  <c r="D70" i="2" s="1"/>
  <c r="D69" i="2" s="1"/>
  <c r="F63" i="2"/>
  <c r="F62" i="2" s="1"/>
  <c r="E63" i="2"/>
  <c r="E62" i="2" s="1"/>
  <c r="D63" i="2"/>
  <c r="D62" i="2" s="1"/>
  <c r="F55" i="2"/>
  <c r="F54" i="2" s="1"/>
  <c r="E55" i="2"/>
  <c r="E54" i="2" s="1"/>
  <c r="D55" i="2"/>
  <c r="D54" i="2" s="1"/>
  <c r="F48" i="2"/>
  <c r="F47" i="2" s="1"/>
  <c r="E48" i="2"/>
  <c r="E47" i="2" s="1"/>
  <c r="D48" i="2"/>
  <c r="D47" i="2" s="1"/>
  <c r="F41" i="2"/>
  <c r="F40" i="2" s="1"/>
  <c r="E41" i="2"/>
  <c r="E40" i="2" s="1"/>
  <c r="D41" i="2"/>
  <c r="D40" i="2" s="1"/>
  <c r="F34" i="2"/>
  <c r="F33" i="2" s="1"/>
  <c r="E34" i="2"/>
  <c r="E33" i="2" s="1"/>
  <c r="D34" i="2"/>
  <c r="D33" i="2" s="1"/>
  <c r="G26" i="2"/>
  <c r="F27" i="2"/>
  <c r="F26" i="2" s="1"/>
  <c r="E27" i="2"/>
  <c r="E26" i="2" s="1"/>
  <c r="D27" i="2"/>
  <c r="D26" i="2" s="1"/>
  <c r="G19" i="2"/>
  <c r="F20" i="2"/>
  <c r="F19" i="2" s="1"/>
  <c r="E20" i="2"/>
  <c r="E19" i="2" s="1"/>
  <c r="D20" i="2"/>
  <c r="D19" i="2" s="1"/>
  <c r="G8" i="2"/>
  <c r="F9" i="2"/>
  <c r="F8" i="2" s="1"/>
  <c r="E9" i="2"/>
  <c r="E8" i="2" s="1"/>
  <c r="D9" i="2"/>
  <c r="D8" i="2" s="1"/>
  <c r="E86" i="1"/>
  <c r="E147" i="1"/>
  <c r="F147" i="1"/>
  <c r="D147" i="1"/>
  <c r="E138" i="1"/>
  <c r="F138" i="1"/>
  <c r="D138" i="1"/>
  <c r="F133" i="1"/>
  <c r="F131" i="1" s="1"/>
  <c r="E133" i="1"/>
  <c r="E131" i="1" s="1"/>
  <c r="D133" i="1"/>
  <c r="D122" i="1"/>
  <c r="F124" i="1"/>
  <c r="F122" i="1" s="1"/>
  <c r="E124" i="1"/>
  <c r="E122" i="1" s="1"/>
  <c r="E116" i="1"/>
  <c r="F116" i="1"/>
  <c r="D116" i="1"/>
  <c r="E107" i="1"/>
  <c r="F107" i="1"/>
  <c r="D107" i="1"/>
  <c r="E100" i="1"/>
  <c r="F100" i="1"/>
  <c r="D100" i="1"/>
  <c r="E92" i="1"/>
  <c r="F92" i="1"/>
  <c r="D92" i="1"/>
  <c r="F86" i="1"/>
  <c r="D86" i="1"/>
  <c r="E77" i="1"/>
  <c r="F77" i="1"/>
  <c r="F70" i="1" s="1"/>
  <c r="D77" i="1"/>
  <c r="E63" i="1"/>
  <c r="F63" i="1"/>
  <c r="D63" i="1"/>
  <c r="D57" i="1"/>
  <c r="D131" i="1" l="1"/>
  <c r="E99" i="1"/>
  <c r="F99" i="1"/>
  <c r="E57" i="1"/>
  <c r="E56" i="1" s="1"/>
  <c r="F57" i="1"/>
  <c r="F56" i="1" s="1"/>
  <c r="E48" i="1"/>
  <c r="F48" i="1"/>
  <c r="D48" i="1"/>
  <c r="E42" i="1"/>
  <c r="F42" i="1"/>
  <c r="D42" i="1"/>
  <c r="E33" i="1"/>
  <c r="F33" i="1"/>
  <c r="D33" i="1"/>
  <c r="E27" i="1"/>
  <c r="F27" i="1"/>
  <c r="D27" i="1"/>
  <c r="E19" i="1"/>
  <c r="F19" i="1"/>
  <c r="D19" i="1"/>
  <c r="E9" i="1"/>
  <c r="F9" i="1"/>
  <c r="D9" i="1"/>
  <c r="D8" i="1" l="1"/>
  <c r="D26" i="1"/>
  <c r="E154" i="1" l="1"/>
  <c r="F154" i="1"/>
  <c r="D154" i="1"/>
  <c r="E146" i="1" l="1"/>
  <c r="D146" i="1"/>
  <c r="F146" i="1"/>
  <c r="E130" i="1" l="1"/>
  <c r="F130" i="1"/>
  <c r="D130" i="1"/>
  <c r="D99" i="1"/>
  <c r="D85" i="1" l="1"/>
  <c r="D115" i="1"/>
  <c r="F85" i="1"/>
  <c r="F115" i="1"/>
  <c r="E85" i="1"/>
  <c r="E115" i="1"/>
  <c r="E70" i="1" l="1"/>
  <c r="E41" i="1"/>
  <c r="F41" i="1"/>
  <c r="D41" i="1"/>
  <c r="E26" i="1"/>
  <c r="F26" i="1"/>
  <c r="D70" i="1" l="1"/>
  <c r="D56" i="1"/>
  <c r="E8" i="1"/>
  <c r="F8" i="1"/>
</calcChain>
</file>

<file path=xl/sharedStrings.xml><?xml version="1.0" encoding="utf-8"?>
<sst xmlns="http://schemas.openxmlformats.org/spreadsheetml/2006/main" count="2959" uniqueCount="303">
  <si>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</si>
  <si>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</si>
  <si>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</si>
  <si>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</si>
  <si>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</si>
  <si>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</si>
  <si>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</si>
  <si>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</si>
  <si>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</si>
  <si>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</si>
  <si>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</si>
  <si>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</si>
  <si>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</si>
  <si>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</si>
  <si>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</si>
  <si>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</si>
  <si>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</si>
  <si>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</si>
  <si>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</si>
  <si>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</si>
  <si>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</si>
  <si>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</si>
  <si>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</si>
  <si>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</si>
  <si>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</si>
  <si>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</si>
  <si>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</si>
  <si>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</si>
  <si>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</si>
  <si>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</si>
  <si>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</si>
  <si>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</si>
  <si>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</si>
  <si>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</si>
  <si>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</si>
  <si>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</si>
  <si>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</si>
  <si>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</si>
  <si>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</si>
  <si>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</si>
  <si>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</si>
  <si>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</si>
  <si>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</si>
  <si>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</si>
  <si>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</si>
  <si>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</si>
  <si>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</si>
  <si>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</si>
  <si>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</si>
  <si>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</si>
  <si>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</si>
  <si>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</si>
  <si>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</si>
  <si>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</si>
  <si>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</si>
  <si>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</si>
  <si>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</si>
  <si>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</si>
  <si>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</si>
  <si>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</si>
  <si>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</si>
  <si>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</si>
  <si>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</si>
  <si>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</si>
  <si>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</si>
  <si>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</si>
  <si>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</si>
  <si>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</si>
  <si>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</si>
  <si>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</si>
  <si>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</si>
  <si>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</si>
  <si>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</si>
  <si>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</si>
  <si>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</si>
  <si>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</si>
  <si>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</si>
  <si>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</si>
  <si>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</si>
  <si>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</si>
  <si>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</si>
  <si>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</si>
  <si>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</si>
  <si>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</si>
  <si>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</si>
  <si>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</si>
  <si>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</si>
  <si>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</si>
  <si>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</si>
  <si>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</si>
  <si>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</si>
  <si>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</si>
  <si>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</si>
  <si>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</si>
  <si>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</si>
  <si>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</si>
  <si>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</si>
  <si>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</si>
  <si>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</si>
  <si>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</si>
  <si>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</si>
  <si>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</si>
  <si>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</si>
  <si>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</si>
  <si>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</si>
  <si>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</si>
  <si>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</si>
  <si>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</si>
  <si>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</si>
  <si>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</si>
  <si>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</si>
  <si>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</si>
  <si>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</si>
  <si>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</si>
  <si>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</si>
  <si>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</si>
  <si>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</si>
  <si>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</si>
  <si>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</si>
  <si>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</si>
  <si>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</si>
  <si>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</si>
  <si>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</si>
  <si>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</si>
  <si>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</si>
  <si>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</si>
  <si>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</si>
  <si>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</si>
  <si>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</si>
  <si>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</si>
  <si>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</si>
  <si>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</si>
  <si>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</si>
  <si>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</si>
  <si>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</si>
  <si>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Пряник</t>
  </si>
  <si>
    <t>Масло сливочное (порциями)</t>
  </si>
  <si>
    <t>Салат из белокочанной капусты</t>
  </si>
  <si>
    <t>Суп - лапша домашняя с мясом птицы</t>
  </si>
  <si>
    <t>Плов из филе птицы</t>
  </si>
  <si>
    <t>Голубцы ленивые</t>
  </si>
  <si>
    <t>Суп картофельный с рисовой крупой с фрикадельками</t>
  </si>
  <si>
    <t>54-283/23</t>
  </si>
  <si>
    <t>Свекла отварная дольками</t>
  </si>
  <si>
    <t>Жаркое "Пикантное"</t>
  </si>
  <si>
    <t>Борщ с капустой и картофелем со сметаной и фрикадельками</t>
  </si>
  <si>
    <t>Котлеты из мяса птицы</t>
  </si>
  <si>
    <t>62/14</t>
  </si>
  <si>
    <t>Салат из моркови с сахаром</t>
  </si>
  <si>
    <t>Суп из овощей со сметаной и фрикадельками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</si>
  <si>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</si>
  <si>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</si>
  <si>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</si>
  <si>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</si>
  <si>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</si>
  <si>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</si>
  <si>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Суп картофельный с макаронными изделиями с фрикадельками</t>
  </si>
  <si>
    <t>Бигус с птицей</t>
  </si>
  <si>
    <t>Биточки "Чикенфиш"</t>
  </si>
  <si>
    <t>Рис отварной</t>
  </si>
  <si>
    <t>Напиток каркаде с сахаром</t>
  </si>
  <si>
    <t>Свекольник со сметаной и фрикадельками</t>
  </si>
  <si>
    <t>278/14</t>
  </si>
  <si>
    <t>Тефтели мясные с соусом</t>
  </si>
  <si>
    <t>Митболы "Ориджинал" с красным соусом</t>
  </si>
  <si>
    <t>Суп крестьянский с крупой со сметаной и фрикадельками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</si>
  <si>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</si>
  <si>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</si>
  <si>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</si>
  <si>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</si>
  <si>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</si>
  <si>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</si>
  <si>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>Суп картофельный с бобовыми с мясом птицы</t>
  </si>
  <si>
    <t xml:space="preserve">Суп из овощей со сметаной </t>
  </si>
  <si>
    <t xml:space="preserve">Суп картофельный с рисовой крупой </t>
  </si>
  <si>
    <t xml:space="preserve">Борщ с капустой и картофелем со сметаной </t>
  </si>
  <si>
    <t xml:space="preserve">Суп картофельный с макаронными изделиями </t>
  </si>
  <si>
    <t>Свекольник со сметаной</t>
  </si>
  <si>
    <t xml:space="preserve">Суп крестьянский с крупой со сметаной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</si>
  <si>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</si>
  <si>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</si>
  <si>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</si>
  <si>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</si>
  <si>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</si>
  <si>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</si>
  <si>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</si>
  <si>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</si>
  <si>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</si>
  <si>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</si>
  <si>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</si>
  <si>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</si>
  <si>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</si>
  <si>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</si>
  <si>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</si>
  <si>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</si>
  <si>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</si>
  <si>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</si>
  <si>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</si>
  <si>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Каша молочная "Дружба" (жидкая) с маслом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</si>
  <si>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</si>
  <si>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</si>
  <si>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</si>
  <si>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</si>
  <si>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</si>
  <si>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 xml:space="preserve">Голубцы ленивые 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</si>
  <si>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</si>
  <si>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</si>
  <si>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</si>
  <si>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</si>
  <si>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</si>
  <si>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</si>
  <si>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</si>
  <si>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</si>
  <si>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</si>
  <si>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</si>
  <si>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</si>
  <si>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</si>
  <si>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</si>
  <si>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</si>
  <si>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</si>
  <si>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</si>
  <si>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</si>
  <si>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</si>
  <si>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</si>
  <si>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</si>
  <si>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</si>
  <si>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 xml:space="preserve"> ТТК 370</t>
  </si>
  <si>
    <t>182/06</t>
  </si>
  <si>
    <t xml:space="preserve"> ТТК 298</t>
  </si>
  <si>
    <t xml:space="preserve"> ТТК 269</t>
  </si>
  <si>
    <t xml:space="preserve"> ТТК 243</t>
  </si>
  <si>
    <t xml:space="preserve"> ТТК 323</t>
  </si>
  <si>
    <t xml:space="preserve"> ТТК 369</t>
  </si>
  <si>
    <t>110/06</t>
  </si>
  <si>
    <t xml:space="preserve"> ТТК 218</t>
  </si>
  <si>
    <t xml:space="preserve"> ТТК 203</t>
  </si>
  <si>
    <t xml:space="preserve"> ТТК 209</t>
  </si>
  <si>
    <t xml:space="preserve"> ТТК370</t>
  </si>
  <si>
    <t>Меню для учащихся, получающих бюджетные средства на питание в размере 72,08 руб. (завтрак)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</si>
  <si>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</si>
  <si>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</si>
  <si>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</si>
  <si>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</si>
  <si>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</si>
  <si>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</si>
  <si>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</si>
  <si>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</si>
  <si>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</si>
  <si>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</si>
  <si>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</si>
  <si>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</si>
  <si>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</si>
  <si>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</si>
  <si>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</si>
  <si>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Меню для учащихся, получающих бюджетные средства на питание в размере 72,08 руб. (обед)</t>
  </si>
  <si>
    <t>Меню для учащихся, получающих бюджетные средства на питание  в размере 147,00 руб. (завтрак, обед)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</si>
  <si>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</si>
  <si>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Меню для учащихся, получающих бюджетные средства на питание  в размере 72,08 руб. (завтрак)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</si>
  <si>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</si>
  <si>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Категории: 
- Обучающиеся кадетских классов, спортивных классов.</t>
  </si>
  <si>
    <t>Меню для учащихся, получающих бюджетные средства на питание в размере 147,00 руб. (завтрак, обед)</t>
  </si>
  <si>
    <t>Категории:
1. Обучающиеся с ограниченными возможностями здоровья и дети-инвалиды.</t>
  </si>
  <si>
    <t>Меню для учащихся, получающих бюджетные средства на питание в размере 148,00 руб. (завтрак, обед)</t>
  </si>
  <si>
    <t>Категории:
-  Обучающиеся, один из родителей которых является военнослужащим;
- Обучающиеся, один из родителей которых является военнослужащим, погибшим (умершим) в результате участия в специальной военной операции.</t>
  </si>
  <si>
    <t>Запеканка из творога с молоком сгущённым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</si>
  <si>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</si>
  <si>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</si>
  <si>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</si>
  <si>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Омлет натуральный с маслом</t>
  </si>
  <si>
    <t>210/17</t>
  </si>
  <si>
    <t>Чахохбили</t>
  </si>
  <si>
    <t>ТТК 247</t>
  </si>
  <si>
    <t>Напиток яблочно-лимонный</t>
  </si>
  <si>
    <t>242/05</t>
  </si>
  <si>
    <t>Азу из мяса птицы без картофеля</t>
  </si>
  <si>
    <t>ТТК 246</t>
  </si>
  <si>
    <t>Шницель мясной</t>
  </si>
  <si>
    <t>268/17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</si>
  <si>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</si>
  <si>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</si>
  <si>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</si>
  <si>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</si>
  <si>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</si>
  <si>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Котлеты рыбные "Фиеста"</t>
  </si>
  <si>
    <t>ТТК 270</t>
  </si>
  <si>
    <t>ДЕНЬ 19. ЭНЕРГЕТИЧЕСКАЯ И ПИЩЕВАЯ ЦЕННОСТЬ ЗА ДЕНЬ</t>
  </si>
  <si>
    <t>ДЕНЬ 20. ЭНЕРГЕТИЧЕСКАЯ И ПИЩЕВАЯ ЦЕННОСТЬ ЗА ДЕНЬ</t>
  </si>
  <si>
    <t>Пудинг из творога с молоком сгущённым</t>
  </si>
  <si>
    <t>222/17</t>
  </si>
  <si>
    <t>Рассольник "Ленинградский" со сметаной</t>
  </si>
  <si>
    <t>96/17</t>
  </si>
  <si>
    <t>Овощи солёные порционные (огурцы)</t>
  </si>
  <si>
    <t>70/17</t>
  </si>
  <si>
    <t>Рыба, запечённая с картофелем по-русски</t>
  </si>
  <si>
    <t>151/06</t>
  </si>
  <si>
    <t>Щи из свежей капусты с картофелем со сметаной</t>
  </si>
  <si>
    <t>87/17</t>
  </si>
  <si>
    <t>Щи из свежей капусты с картофелем со сметаной и мясом птицы</t>
  </si>
  <si>
    <t>Гуляш из мяса</t>
  </si>
  <si>
    <t>Каша пшенная вязкая</t>
  </si>
  <si>
    <t>303/17</t>
  </si>
  <si>
    <t>Каша молочная рисовая (жидкая) с маслом сливочным</t>
  </si>
  <si>
    <t xml:space="preserve">Меню для учащихся, получающих бюджетные средства на питание  в размере 30,00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</si>
</sst>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06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4" fillId="2" borderId="5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NumberFormat="1" applyFont="1" applyFill="1" applyBorder="1" applyAlignment="1" applyProtection="1">
      <alignment horizontal="left" vertical="center" wrapText="1"/>
    </xf>
    <xf numFmtId="1" fontId="14" fillId="2" borderId="5" xfId="0" applyNumberFormat="1" applyFont="1" applyFill="1" applyBorder="1" applyAlignment="1" applyProtection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9" fontId="15" fillId="2" borderId="0" xfId="0" applyNumberFormat="1" applyFont="1" applyFill="1" applyBorder="1" applyAlignment="1" applyProtection="1">
      <alignment horizontal="center" wrapText="1"/>
    </xf>
    <xf numFmtId="2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center" vertical="center" wrapText="1"/>
    </xf>
    <xf numFmtId="0" fontId="15" fillId="2" borderId="6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0"/>
  <sheetViews>
    <sheetView zoomScaleNormal="100" workbookViewId="0">
      <selection sqref="A1:G160"/>
    </sheetView>
  </sheetViews>
  <sheetFormatPr defaultRowHeight="12.75" x14ac:dyDescent="0.2"/>
  <cols>
    <col min="1" max="1" width="11" style="197" customWidth="1"/>
    <col min="2" max="2" width="32.85546875" style="212" customWidth="1"/>
    <col min="3" max="3" width="10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1.85546875" style="197" customWidth="1"/>
    <col min="8" max="16384" width="9.140625" style="185"/>
  </cols>
  <sheetData>
    <row r="1" spans="1:7" x14ac:dyDescent="0.2">
      <c r="A1" s="267" t="s">
        <v>238</v>
      </c>
      <c r="B1" s="267"/>
      <c r="C1" s="267"/>
      <c r="D1" s="267"/>
      <c r="E1" s="267"/>
      <c r="F1" s="267"/>
      <c r="G1" s="267"/>
    </row>
    <row r="2" spans="1:7" x14ac:dyDescent="0.2">
      <c r="A2" s="267"/>
      <c r="B2" s="267"/>
      <c r="C2" s="267"/>
      <c r="D2" s="267"/>
      <c r="E2" s="267"/>
      <c r="F2" s="267"/>
      <c r="G2" s="267"/>
    </row>
    <row r="3" spans="1:7" x14ac:dyDescent="0.2">
      <c r="A3" s="264" t="s">
        <v>253</v>
      </c>
      <c r="B3" s="264"/>
      <c r="C3" s="264"/>
      <c r="D3" s="264"/>
      <c r="E3" s="264"/>
      <c r="F3" s="264"/>
      <c r="G3" s="264"/>
    </row>
    <row r="4" spans="1:7" ht="48.75" customHeight="1" x14ac:dyDescent="0.2">
      <c r="A4" s="265"/>
      <c r="B4" s="265"/>
      <c r="C4" s="265"/>
      <c r="D4" s="265"/>
      <c r="E4" s="265"/>
      <c r="F4" s="265"/>
      <c r="G4" s="265"/>
    </row>
    <row r="5" spans="1:7" ht="33.75" customHeight="1" x14ac:dyDescent="0.2">
      <c r="A5" s="268" t="s">
        <v>239</v>
      </c>
      <c r="B5" s="268" t="s">
        <v>240</v>
      </c>
      <c r="C5" s="268" t="s">
        <v>241</v>
      </c>
      <c r="D5" s="268" t="s">
        <v>242</v>
      </c>
      <c r="E5" s="268"/>
      <c r="F5" s="268"/>
      <c r="G5" s="268" t="s">
        <v>23</v>
      </c>
    </row>
    <row r="6" spans="1:7" ht="34.5" customHeight="1" x14ac:dyDescent="0.2">
      <c r="A6" s="268"/>
      <c r="B6" s="268"/>
      <c r="C6" s="268"/>
      <c r="D6" s="187" t="s">
        <v>17</v>
      </c>
      <c r="E6" s="187" t="s">
        <v>19</v>
      </c>
      <c r="F6" s="187" t="s">
        <v>21</v>
      </c>
      <c r="G6" s="268"/>
    </row>
    <row r="7" spans="1:7" s="197" customFormat="1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66" t="s">
        <v>243</v>
      </c>
      <c r="B8" s="266"/>
      <c r="C8" s="266"/>
      <c r="D8" s="186">
        <f>D9</f>
        <v>16.41</v>
      </c>
      <c r="E8" s="186">
        <f>E9</f>
        <v>19.869999999999997</v>
      </c>
      <c r="F8" s="186">
        <f>F9</f>
        <v>99.29000000000002</v>
      </c>
      <c r="G8" s="186">
        <f>G9</f>
        <v>665</v>
      </c>
    </row>
    <row r="9" spans="1:7" x14ac:dyDescent="0.2">
      <c r="A9" s="187"/>
      <c r="B9" s="188" t="s">
        <v>66</v>
      </c>
      <c r="C9" s="187"/>
      <c r="D9" s="186">
        <f>D10+D11+D12+D13+D14+D15</f>
        <v>16.41</v>
      </c>
      <c r="E9" s="186">
        <f>E10+E11+E12+E13+E14+E15</f>
        <v>19.869999999999997</v>
      </c>
      <c r="F9" s="186">
        <f>F10+F11+F12+F13+F14+F15</f>
        <v>99.29000000000002</v>
      </c>
      <c r="G9" s="186">
        <f>G10+G11+G12+G13+G14+G15</f>
        <v>665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203</v>
      </c>
      <c r="C12" s="189">
        <v>205</v>
      </c>
      <c r="D12" s="190">
        <v>6.81</v>
      </c>
      <c r="E12" s="190">
        <v>10.45</v>
      </c>
      <c r="F12" s="190">
        <v>29.51</v>
      </c>
      <c r="G12" s="190">
        <v>246.6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40</v>
      </c>
      <c r="D15" s="190">
        <v>3.04</v>
      </c>
      <c r="E15" s="190">
        <v>0.32</v>
      </c>
      <c r="F15" s="190">
        <v>19.68</v>
      </c>
      <c r="G15" s="190">
        <v>98.34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62" t="s">
        <v>252</v>
      </c>
      <c r="B18" s="263"/>
      <c r="C18" s="207">
        <f>SUM(C10:C17)</f>
        <v>500</v>
      </c>
      <c r="D18" s="192"/>
      <c r="E18" s="192"/>
      <c r="F18" s="192"/>
      <c r="G18" s="192"/>
    </row>
    <row r="19" spans="1:7" ht="27.95" customHeight="1" x14ac:dyDescent="0.2">
      <c r="A19" s="266" t="s">
        <v>244</v>
      </c>
      <c r="B19" s="266"/>
      <c r="C19" s="266"/>
      <c r="D19" s="186">
        <f>D20</f>
        <v>12.620000000000001</v>
      </c>
      <c r="E19" s="186">
        <f>E20</f>
        <v>16.91</v>
      </c>
      <c r="F19" s="186">
        <f>F20</f>
        <v>71.039999999999992</v>
      </c>
      <c r="G19" s="186">
        <f>G20</f>
        <v>503.65</v>
      </c>
    </row>
    <row r="20" spans="1:7" x14ac:dyDescent="0.2">
      <c r="A20" s="187"/>
      <c r="B20" s="188" t="s">
        <v>66</v>
      </c>
      <c r="C20" s="187"/>
      <c r="D20" s="186">
        <f>D21+D22+D23+D24</f>
        <v>12.620000000000001</v>
      </c>
      <c r="E20" s="186">
        <f>E21+E22+E23+E24</f>
        <v>16.91</v>
      </c>
      <c r="F20" s="186">
        <f>F21+F22+F23+F24</f>
        <v>71.039999999999992</v>
      </c>
      <c r="G20" s="186">
        <f>G21+G22+G23+G24</f>
        <v>503.65</v>
      </c>
    </row>
    <row r="21" spans="1:7" x14ac:dyDescent="0.2">
      <c r="A21" s="189" t="s">
        <v>226</v>
      </c>
      <c r="B21" s="182" t="s">
        <v>204</v>
      </c>
      <c r="C21" s="189">
        <v>115</v>
      </c>
      <c r="D21" s="190">
        <v>6.32</v>
      </c>
      <c r="E21" s="190">
        <v>8.7899999999999991</v>
      </c>
      <c r="F21" s="190">
        <v>19.37</v>
      </c>
      <c r="G21" s="190">
        <v>187.01</v>
      </c>
    </row>
    <row r="22" spans="1:7" x14ac:dyDescent="0.2">
      <c r="A22" s="189" t="s">
        <v>34</v>
      </c>
      <c r="B22" s="182" t="s">
        <v>32</v>
      </c>
      <c r="C22" s="189">
        <v>150</v>
      </c>
      <c r="D22" s="190">
        <v>3.26</v>
      </c>
      <c r="E22" s="190">
        <v>7.8</v>
      </c>
      <c r="F22" s="190">
        <v>21.99</v>
      </c>
      <c r="G22" s="190">
        <v>176.3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40</v>
      </c>
      <c r="D24" s="190">
        <v>3.04</v>
      </c>
      <c r="E24" s="190">
        <v>0.32</v>
      </c>
      <c r="F24" s="190">
        <v>19.68</v>
      </c>
      <c r="G24" s="190">
        <v>98.34</v>
      </c>
    </row>
    <row r="25" spans="1:7" x14ac:dyDescent="0.2">
      <c r="A25" s="262" t="s">
        <v>252</v>
      </c>
      <c r="B25" s="263"/>
      <c r="C25" s="187">
        <f>SUM(C21:C24)</f>
        <v>505</v>
      </c>
      <c r="D25" s="190"/>
      <c r="E25" s="190"/>
      <c r="F25" s="190"/>
      <c r="G25" s="190"/>
    </row>
    <row r="26" spans="1:7" ht="27.95" customHeight="1" x14ac:dyDescent="0.2">
      <c r="A26" s="266" t="s">
        <v>245</v>
      </c>
      <c r="B26" s="266"/>
      <c r="C26" s="266"/>
      <c r="D26" s="186">
        <f>D27</f>
        <v>19.03</v>
      </c>
      <c r="E26" s="186">
        <f>E27</f>
        <v>6.46</v>
      </c>
      <c r="F26" s="186">
        <f>F27</f>
        <v>83.52</v>
      </c>
      <c r="G26" s="186">
        <f>G27</f>
        <v>489.34000000000003</v>
      </c>
    </row>
    <row r="27" spans="1:7" x14ac:dyDescent="0.2">
      <c r="A27" s="187"/>
      <c r="B27" s="188" t="s">
        <v>66</v>
      </c>
      <c r="C27" s="187"/>
      <c r="D27" s="186">
        <f>D28+D29+D30+D31</f>
        <v>19.03</v>
      </c>
      <c r="E27" s="186">
        <f t="shared" ref="E27:F27" si="0">E28+E29+E30+E31</f>
        <v>6.46</v>
      </c>
      <c r="F27" s="186">
        <f t="shared" si="0"/>
        <v>83.52</v>
      </c>
      <c r="G27" s="186">
        <f>G28+G29+G30+G31</f>
        <v>489.34000000000003</v>
      </c>
    </row>
    <row r="28" spans="1:7" ht="15" customHeight="1" x14ac:dyDescent="0.2">
      <c r="A28" s="189" t="s">
        <v>142</v>
      </c>
      <c r="B28" s="182" t="s">
        <v>143</v>
      </c>
      <c r="C28" s="189">
        <v>60</v>
      </c>
      <c r="D28" s="190">
        <v>0.9</v>
      </c>
      <c r="E28" s="190">
        <v>0.06</v>
      </c>
      <c r="F28" s="190">
        <v>5.28</v>
      </c>
      <c r="G28" s="190">
        <v>27</v>
      </c>
    </row>
    <row r="29" spans="1:7" x14ac:dyDescent="0.2">
      <c r="A29" s="189" t="s">
        <v>229</v>
      </c>
      <c r="B29" s="182" t="s">
        <v>144</v>
      </c>
      <c r="C29" s="189">
        <v>200</v>
      </c>
      <c r="D29" s="190">
        <v>14.09</v>
      </c>
      <c r="E29" s="190">
        <v>5.98</v>
      </c>
      <c r="F29" s="190">
        <v>27.56</v>
      </c>
      <c r="G29" s="190">
        <v>229</v>
      </c>
    </row>
    <row r="30" spans="1:7" ht="29.25" customHeight="1" x14ac:dyDescent="0.2">
      <c r="A30" s="189" t="s">
        <v>42</v>
      </c>
      <c r="B30" s="182" t="s">
        <v>224</v>
      </c>
      <c r="C30" s="189">
        <v>200</v>
      </c>
      <c r="D30" s="190">
        <v>1</v>
      </c>
      <c r="E30" s="190">
        <v>0.1</v>
      </c>
      <c r="F30" s="190">
        <v>31</v>
      </c>
      <c r="G30" s="190">
        <v>135</v>
      </c>
    </row>
    <row r="31" spans="1:7" ht="15" customHeight="1" x14ac:dyDescent="0.2">
      <c r="A31" s="196"/>
      <c r="B31" s="182" t="s">
        <v>11</v>
      </c>
      <c r="C31" s="189">
        <v>40</v>
      </c>
      <c r="D31" s="190">
        <v>3.04</v>
      </c>
      <c r="E31" s="190">
        <v>0.32</v>
      </c>
      <c r="F31" s="190">
        <v>19.68</v>
      </c>
      <c r="G31" s="190">
        <v>98.34</v>
      </c>
    </row>
    <row r="32" spans="1:7" x14ac:dyDescent="0.2">
      <c r="A32" s="262" t="s">
        <v>252</v>
      </c>
      <c r="B32" s="263"/>
      <c r="C32" s="187">
        <f>SUM(C28:C31)</f>
        <v>500</v>
      </c>
      <c r="D32" s="190"/>
      <c r="E32" s="190"/>
      <c r="F32" s="190"/>
      <c r="G32" s="190"/>
    </row>
    <row r="33" spans="1:7" ht="27.95" customHeight="1" x14ac:dyDescent="0.2">
      <c r="A33" s="266" t="s">
        <v>246</v>
      </c>
      <c r="B33" s="266"/>
      <c r="C33" s="266"/>
      <c r="D33" s="186">
        <f>D34</f>
        <v>21.169999999999998</v>
      </c>
      <c r="E33" s="186">
        <f>E34</f>
        <v>17.48</v>
      </c>
      <c r="F33" s="186">
        <f>F34</f>
        <v>82.38</v>
      </c>
      <c r="G33" s="186">
        <f>G34</f>
        <v>592.27</v>
      </c>
    </row>
    <row r="34" spans="1:7" x14ac:dyDescent="0.2">
      <c r="A34" s="187"/>
      <c r="B34" s="188" t="s">
        <v>66</v>
      </c>
      <c r="C34" s="187"/>
      <c r="D34" s="186">
        <f>D35+D36+D37+D38</f>
        <v>21.169999999999998</v>
      </c>
      <c r="E34" s="186">
        <f t="shared" ref="E34:F34" si="1">E35+E36+E37+E38</f>
        <v>17.48</v>
      </c>
      <c r="F34" s="186">
        <f t="shared" si="1"/>
        <v>82.38</v>
      </c>
      <c r="G34" s="186">
        <f>G35+G36+G37+G38</f>
        <v>592.27</v>
      </c>
    </row>
    <row r="35" spans="1:7" x14ac:dyDescent="0.2">
      <c r="A35" s="196"/>
      <c r="B35" s="182" t="s">
        <v>41</v>
      </c>
      <c r="C35" s="189">
        <v>100</v>
      </c>
      <c r="D35" s="190">
        <v>0.4</v>
      </c>
      <c r="E35" s="190">
        <v>0</v>
      </c>
      <c r="F35" s="190">
        <v>9.8000000000000007</v>
      </c>
      <c r="G35" s="190">
        <v>42.84</v>
      </c>
    </row>
    <row r="36" spans="1:7" x14ac:dyDescent="0.2">
      <c r="A36" s="196" t="s">
        <v>188</v>
      </c>
      <c r="B36" s="182" t="s">
        <v>139</v>
      </c>
      <c r="C36" s="189">
        <v>200</v>
      </c>
      <c r="D36" s="190">
        <v>17.73</v>
      </c>
      <c r="E36" s="190">
        <v>17.16</v>
      </c>
      <c r="F36" s="190">
        <v>42.9</v>
      </c>
      <c r="G36" s="190">
        <v>409.09</v>
      </c>
    </row>
    <row r="37" spans="1:7" x14ac:dyDescent="0.2">
      <c r="A37" s="196" t="s">
        <v>182</v>
      </c>
      <c r="B37" s="191" t="s">
        <v>10</v>
      </c>
      <c r="C37" s="189">
        <v>200</v>
      </c>
      <c r="D37" s="190">
        <v>0</v>
      </c>
      <c r="E37" s="190">
        <v>0</v>
      </c>
      <c r="F37" s="190">
        <v>10</v>
      </c>
      <c r="G37" s="190">
        <v>42</v>
      </c>
    </row>
    <row r="38" spans="1:7" ht="15" customHeight="1" x14ac:dyDescent="0.2">
      <c r="A38" s="189"/>
      <c r="B38" s="182" t="s">
        <v>11</v>
      </c>
      <c r="C38" s="189">
        <v>40</v>
      </c>
      <c r="D38" s="190">
        <v>3.04</v>
      </c>
      <c r="E38" s="190">
        <v>0.32</v>
      </c>
      <c r="F38" s="190">
        <v>19.68</v>
      </c>
      <c r="G38" s="190">
        <v>98.34</v>
      </c>
    </row>
    <row r="39" spans="1:7" ht="15" customHeight="1" x14ac:dyDescent="0.2">
      <c r="A39" s="262" t="s">
        <v>252</v>
      </c>
      <c r="B39" s="263"/>
      <c r="C39" s="187">
        <f>C38+C37+C36+C35</f>
        <v>540</v>
      </c>
      <c r="D39" s="190"/>
      <c r="E39" s="190"/>
      <c r="F39" s="190"/>
      <c r="G39" s="190"/>
    </row>
    <row r="40" spans="1:7" ht="27.95" customHeight="1" x14ac:dyDescent="0.2">
      <c r="A40" s="266" t="s">
        <v>247</v>
      </c>
      <c r="B40" s="266"/>
      <c r="C40" s="266"/>
      <c r="D40" s="186">
        <f>D41</f>
        <v>15.2</v>
      </c>
      <c r="E40" s="186">
        <f>E41</f>
        <v>15.11</v>
      </c>
      <c r="F40" s="186">
        <f>F41</f>
        <v>79.06</v>
      </c>
      <c r="G40" s="186">
        <f>G41</f>
        <v>532.43200000000002</v>
      </c>
    </row>
    <row r="41" spans="1:7" x14ac:dyDescent="0.2">
      <c r="A41" s="187"/>
      <c r="B41" s="188" t="s">
        <v>66</v>
      </c>
      <c r="C41" s="187"/>
      <c r="D41" s="186">
        <f>D42+D43+D44+D45</f>
        <v>15.2</v>
      </c>
      <c r="E41" s="186">
        <f>E42+E43+E44+E45</f>
        <v>15.11</v>
      </c>
      <c r="F41" s="186">
        <f>F42+F43+F44+F45</f>
        <v>79.06</v>
      </c>
      <c r="G41" s="186">
        <f>G42+G43+G44+G45</f>
        <v>532.43200000000002</v>
      </c>
    </row>
    <row r="42" spans="1:7" x14ac:dyDescent="0.2">
      <c r="A42" s="189" t="s">
        <v>228</v>
      </c>
      <c r="B42" s="182" t="s">
        <v>151</v>
      </c>
      <c r="C42" s="189">
        <v>105</v>
      </c>
      <c r="D42" s="190">
        <v>6.14</v>
      </c>
      <c r="E42" s="190">
        <v>11.91</v>
      </c>
      <c r="F42" s="190">
        <v>10.92</v>
      </c>
      <c r="G42" s="190">
        <v>178.84</v>
      </c>
    </row>
    <row r="43" spans="1:7" x14ac:dyDescent="0.2">
      <c r="A43" s="189" t="s">
        <v>33</v>
      </c>
      <c r="B43" s="182" t="s">
        <v>12</v>
      </c>
      <c r="C43" s="189">
        <v>150</v>
      </c>
      <c r="D43" s="190">
        <v>5.64</v>
      </c>
      <c r="E43" s="190">
        <v>2.84</v>
      </c>
      <c r="F43" s="190">
        <v>36</v>
      </c>
      <c r="G43" s="190">
        <v>201</v>
      </c>
    </row>
    <row r="44" spans="1:7" x14ac:dyDescent="0.2">
      <c r="A44" s="206" t="s">
        <v>182</v>
      </c>
      <c r="B44" s="182" t="s">
        <v>10</v>
      </c>
      <c r="C44" s="206">
        <v>200</v>
      </c>
      <c r="D44" s="190">
        <v>0</v>
      </c>
      <c r="E44" s="190">
        <v>0</v>
      </c>
      <c r="F44" s="190">
        <v>10</v>
      </c>
      <c r="G44" s="190">
        <v>42</v>
      </c>
    </row>
    <row r="45" spans="1:7" ht="13.5" customHeight="1" x14ac:dyDescent="0.2">
      <c r="A45" s="196"/>
      <c r="B45" s="191" t="s">
        <v>11</v>
      </c>
      <c r="C45" s="196">
        <v>45</v>
      </c>
      <c r="D45" s="192">
        <v>3.42</v>
      </c>
      <c r="E45" s="192">
        <v>0.36</v>
      </c>
      <c r="F45" s="192">
        <v>22.14</v>
      </c>
      <c r="G45" s="192">
        <v>110.592</v>
      </c>
    </row>
    <row r="46" spans="1:7" x14ac:dyDescent="0.2">
      <c r="A46" s="262" t="s">
        <v>252</v>
      </c>
      <c r="B46" s="263"/>
      <c r="C46" s="187">
        <f>SUM(C42:C45)</f>
        <v>500</v>
      </c>
      <c r="D46" s="190"/>
      <c r="E46" s="190"/>
      <c r="F46" s="190"/>
      <c r="G46" s="190"/>
    </row>
    <row r="47" spans="1:7" ht="27.95" customHeight="1" x14ac:dyDescent="0.2">
      <c r="A47" s="266" t="s">
        <v>248</v>
      </c>
      <c r="B47" s="266"/>
      <c r="C47" s="266"/>
      <c r="D47" s="186">
        <f>D48</f>
        <v>11.64</v>
      </c>
      <c r="E47" s="186">
        <f t="shared" ref="E47:G47" si="2">E48</f>
        <v>10.52</v>
      </c>
      <c r="F47" s="186">
        <f t="shared" si="2"/>
        <v>89.5</v>
      </c>
      <c r="G47" s="186">
        <f t="shared" si="2"/>
        <v>519.5</v>
      </c>
    </row>
    <row r="48" spans="1:7" x14ac:dyDescent="0.2">
      <c r="A48" s="187"/>
      <c r="B48" s="188" t="s">
        <v>66</v>
      </c>
      <c r="C48" s="187"/>
      <c r="D48" s="186">
        <f>D49+D50+D51+D52</f>
        <v>11.64</v>
      </c>
      <c r="E48" s="186">
        <f>E49+E50+E51+E52</f>
        <v>10.52</v>
      </c>
      <c r="F48" s="186">
        <f>F49+F50+F51+F52</f>
        <v>89.5</v>
      </c>
      <c r="G48" s="186">
        <f>G49+G50+G52+G51</f>
        <v>519.5</v>
      </c>
    </row>
    <row r="49" spans="1:25" x14ac:dyDescent="0.2">
      <c r="A49" s="189"/>
      <c r="B49" s="182" t="s">
        <v>41</v>
      </c>
      <c r="C49" s="189">
        <v>100</v>
      </c>
      <c r="D49" s="190">
        <v>0.4</v>
      </c>
      <c r="E49" s="190">
        <v>0</v>
      </c>
      <c r="F49" s="190">
        <v>9.8000000000000007</v>
      </c>
      <c r="G49" s="190">
        <v>42.84</v>
      </c>
    </row>
    <row r="50" spans="1:25" ht="24.75" customHeight="1" x14ac:dyDescent="0.2">
      <c r="A50" s="189" t="s">
        <v>180</v>
      </c>
      <c r="B50" s="182" t="s">
        <v>205</v>
      </c>
      <c r="C50" s="189">
        <v>203</v>
      </c>
      <c r="D50" s="190">
        <v>8.1999999999999993</v>
      </c>
      <c r="E50" s="190">
        <v>10.199999999999999</v>
      </c>
      <c r="F50" s="190">
        <v>50.02</v>
      </c>
      <c r="G50" s="190">
        <v>336.32</v>
      </c>
      <c r="H50" s="194"/>
      <c r="I50" s="194"/>
      <c r="J50" s="194"/>
      <c r="K50" s="194"/>
      <c r="L50" s="194"/>
      <c r="M50" s="195"/>
      <c r="N50" s="194"/>
      <c r="O50" s="194"/>
      <c r="P50" s="194"/>
      <c r="Q50" s="194"/>
      <c r="R50" s="194"/>
    </row>
    <row r="51" spans="1:25" ht="12" customHeight="1" x14ac:dyDescent="0.2">
      <c r="A51" s="196" t="s">
        <v>182</v>
      </c>
      <c r="B51" s="182" t="s">
        <v>10</v>
      </c>
      <c r="C51" s="189">
        <v>200</v>
      </c>
      <c r="D51" s="190">
        <v>0</v>
      </c>
      <c r="E51" s="190">
        <v>0</v>
      </c>
      <c r="F51" s="190">
        <v>10</v>
      </c>
      <c r="G51" s="190">
        <v>42</v>
      </c>
      <c r="H51" s="194"/>
      <c r="I51" s="194"/>
      <c r="J51" s="194"/>
      <c r="K51" s="194"/>
      <c r="L51" s="194"/>
      <c r="M51" s="195"/>
      <c r="N51" s="194"/>
      <c r="O51" s="194"/>
      <c r="P51" s="194"/>
      <c r="Q51" s="194"/>
      <c r="R51" s="194"/>
    </row>
    <row r="52" spans="1:25" x14ac:dyDescent="0.2">
      <c r="A52" s="206"/>
      <c r="B52" s="182" t="s">
        <v>11</v>
      </c>
      <c r="C52" s="189">
        <v>40</v>
      </c>
      <c r="D52" s="190">
        <v>3.04</v>
      </c>
      <c r="E52" s="190">
        <v>0.32</v>
      </c>
      <c r="F52" s="190">
        <v>19.68</v>
      </c>
      <c r="G52" s="190">
        <v>98.34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1:25" x14ac:dyDescent="0.2">
      <c r="A53" s="262" t="s">
        <v>252</v>
      </c>
      <c r="B53" s="263"/>
      <c r="C53" s="207">
        <f>C52+C51+C50+C49</f>
        <v>543</v>
      </c>
      <c r="D53" s="192"/>
      <c r="E53" s="192"/>
      <c r="F53" s="192"/>
      <c r="G53" s="192"/>
    </row>
    <row r="54" spans="1:25" ht="27.95" customHeight="1" x14ac:dyDescent="0.2">
      <c r="A54" s="266" t="s">
        <v>64</v>
      </c>
      <c r="B54" s="266"/>
      <c r="C54" s="266"/>
      <c r="D54" s="186">
        <f>D55</f>
        <v>20.170000000000002</v>
      </c>
      <c r="E54" s="186">
        <f>E55</f>
        <v>13.51</v>
      </c>
      <c r="F54" s="186">
        <f>F55</f>
        <v>95.15</v>
      </c>
      <c r="G54" s="186">
        <f>G55</f>
        <v>606.51599999999996</v>
      </c>
    </row>
    <row r="55" spans="1:25" x14ac:dyDescent="0.2">
      <c r="A55" s="187"/>
      <c r="B55" s="188" t="s">
        <v>66</v>
      </c>
      <c r="C55" s="187"/>
      <c r="D55" s="186">
        <f>D56+D57+D58+D59+D60</f>
        <v>20.170000000000002</v>
      </c>
      <c r="E55" s="186">
        <f>E56+E57+E58+E59+E60</f>
        <v>13.51</v>
      </c>
      <c r="F55" s="186">
        <f>F56+F57+F58+F59+F60</f>
        <v>95.15</v>
      </c>
      <c r="G55" s="186">
        <f>G56+G57+G58+G59+G60</f>
        <v>606.51599999999996</v>
      </c>
    </row>
    <row r="56" spans="1:25" ht="17.25" customHeight="1" x14ac:dyDescent="0.2">
      <c r="A56" s="196" t="s">
        <v>230</v>
      </c>
      <c r="B56" s="182" t="s">
        <v>158</v>
      </c>
      <c r="C56" s="189">
        <v>90</v>
      </c>
      <c r="D56" s="190">
        <v>11.81</v>
      </c>
      <c r="E56" s="190">
        <v>8.11</v>
      </c>
      <c r="F56" s="190">
        <v>4.87</v>
      </c>
      <c r="G56" s="190">
        <v>143.05000000000001</v>
      </c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</row>
    <row r="57" spans="1:25" ht="13.5" customHeight="1" x14ac:dyDescent="0.2">
      <c r="A57" s="196" t="s">
        <v>189</v>
      </c>
      <c r="B57" s="182" t="s">
        <v>159</v>
      </c>
      <c r="C57" s="189">
        <v>150</v>
      </c>
      <c r="D57" s="190">
        <v>3.81</v>
      </c>
      <c r="E57" s="190">
        <v>2.72</v>
      </c>
      <c r="F57" s="190">
        <v>40</v>
      </c>
      <c r="G57" s="190">
        <v>208.48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</row>
    <row r="58" spans="1:25" ht="14.25" customHeight="1" x14ac:dyDescent="0.2">
      <c r="A58" s="196"/>
      <c r="B58" s="182" t="s">
        <v>62</v>
      </c>
      <c r="C58" s="189">
        <v>20</v>
      </c>
      <c r="D58" s="190">
        <v>1.5</v>
      </c>
      <c r="E58" s="190">
        <v>2.36</v>
      </c>
      <c r="F58" s="190">
        <v>14.98</v>
      </c>
      <c r="G58" s="190">
        <v>91</v>
      </c>
      <c r="H58" s="197"/>
      <c r="I58" s="184"/>
      <c r="J58" s="197"/>
      <c r="K58" s="197"/>
      <c r="L58" s="184"/>
      <c r="M58" s="197"/>
      <c r="N58" s="197"/>
      <c r="O58" s="184"/>
      <c r="P58" s="197"/>
      <c r="Q58" s="197"/>
      <c r="R58" s="197"/>
      <c r="S58" s="197"/>
      <c r="T58" s="197"/>
      <c r="U58" s="197"/>
      <c r="V58" s="197"/>
      <c r="W58" s="197"/>
      <c r="X58" s="197"/>
      <c r="Y58" s="197"/>
    </row>
    <row r="59" spans="1:25" ht="14.25" customHeight="1" x14ac:dyDescent="0.2">
      <c r="A59" s="196" t="s">
        <v>231</v>
      </c>
      <c r="B59" s="182" t="s">
        <v>160</v>
      </c>
      <c r="C59" s="189">
        <v>200</v>
      </c>
      <c r="D59" s="190">
        <v>0.01</v>
      </c>
      <c r="E59" s="190"/>
      <c r="F59" s="190">
        <v>15.62</v>
      </c>
      <c r="G59" s="190">
        <v>65.646000000000001</v>
      </c>
      <c r="H59" s="197"/>
      <c r="I59" s="184"/>
      <c r="J59" s="197"/>
      <c r="K59" s="197"/>
      <c r="L59" s="184"/>
      <c r="M59" s="197"/>
      <c r="N59" s="197"/>
      <c r="O59" s="184"/>
      <c r="P59" s="197"/>
      <c r="Q59" s="197"/>
      <c r="R59" s="197"/>
      <c r="S59" s="197"/>
      <c r="T59" s="197"/>
      <c r="U59" s="197"/>
      <c r="V59" s="197"/>
      <c r="W59" s="197"/>
      <c r="X59" s="197"/>
      <c r="Y59" s="197"/>
    </row>
    <row r="60" spans="1:25" ht="14.25" customHeight="1" x14ac:dyDescent="0.2">
      <c r="A60" s="189"/>
      <c r="B60" s="182" t="s">
        <v>11</v>
      </c>
      <c r="C60" s="189">
        <v>40</v>
      </c>
      <c r="D60" s="190">
        <v>3.04</v>
      </c>
      <c r="E60" s="190">
        <v>0.32</v>
      </c>
      <c r="F60" s="190">
        <v>19.68</v>
      </c>
      <c r="G60" s="190">
        <v>98.34</v>
      </c>
      <c r="H60" s="197"/>
      <c r="I60" s="198"/>
      <c r="J60" s="197"/>
      <c r="K60" s="197"/>
      <c r="L60" s="198"/>
      <c r="M60" s="184"/>
      <c r="N60" s="184"/>
      <c r="O60" s="184"/>
      <c r="P60" s="184"/>
      <c r="Q60" s="184"/>
      <c r="R60" s="184"/>
      <c r="S60" s="184"/>
      <c r="T60" s="184"/>
      <c r="U60" s="184"/>
      <c r="V60" s="197"/>
      <c r="W60" s="184"/>
      <c r="X60" s="184"/>
      <c r="Y60" s="198"/>
    </row>
    <row r="61" spans="1:25" ht="17.25" customHeight="1" x14ac:dyDescent="0.2">
      <c r="A61" s="262" t="s">
        <v>252</v>
      </c>
      <c r="B61" s="263"/>
      <c r="C61" s="207">
        <f>C60+C59+C58+C57+C56</f>
        <v>500</v>
      </c>
      <c r="D61" s="192"/>
      <c r="E61" s="192"/>
      <c r="F61" s="192"/>
      <c r="G61" s="192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</row>
    <row r="62" spans="1:25" ht="27.95" customHeight="1" x14ac:dyDescent="0.2">
      <c r="A62" s="266" t="s">
        <v>249</v>
      </c>
      <c r="B62" s="266"/>
      <c r="C62" s="266"/>
      <c r="D62" s="186">
        <f>D63</f>
        <v>17.759999999999998</v>
      </c>
      <c r="E62" s="186">
        <f>E63</f>
        <v>14.36</v>
      </c>
      <c r="F62" s="186">
        <f>F63</f>
        <v>71.47999999999999</v>
      </c>
      <c r="G62" s="186">
        <f>G63</f>
        <v>504.63599999999997</v>
      </c>
    </row>
    <row r="63" spans="1:25" x14ac:dyDescent="0.2">
      <c r="A63" s="187"/>
      <c r="B63" s="188" t="s">
        <v>66</v>
      </c>
      <c r="C63" s="187"/>
      <c r="D63" s="186">
        <f>D64+D65+D66+D67</f>
        <v>17.759999999999998</v>
      </c>
      <c r="E63" s="186">
        <f>E64+E65+E66+E67</f>
        <v>14.36</v>
      </c>
      <c r="F63" s="186">
        <f>F64+F65+F66+F67</f>
        <v>71.47999999999999</v>
      </c>
      <c r="G63" s="186">
        <f>G64+G65+G66+G67</f>
        <v>504.63599999999997</v>
      </c>
    </row>
    <row r="64" spans="1:25" ht="25.5" x14ac:dyDescent="0.2">
      <c r="A64" s="189" t="s">
        <v>232</v>
      </c>
      <c r="B64" s="182" t="s">
        <v>164</v>
      </c>
      <c r="C64" s="189">
        <v>110</v>
      </c>
      <c r="D64" s="190">
        <v>9.08</v>
      </c>
      <c r="E64" s="190">
        <v>11.2</v>
      </c>
      <c r="F64" s="190">
        <v>5.8</v>
      </c>
      <c r="G64" s="190">
        <v>163.29599999999999</v>
      </c>
    </row>
    <row r="65" spans="1:26" x14ac:dyDescent="0.2">
      <c r="A65" s="189" t="s">
        <v>33</v>
      </c>
      <c r="B65" s="182" t="s">
        <v>12</v>
      </c>
      <c r="C65" s="189">
        <v>150</v>
      </c>
      <c r="D65" s="190">
        <v>5.64</v>
      </c>
      <c r="E65" s="190">
        <v>2.84</v>
      </c>
      <c r="F65" s="190">
        <v>36</v>
      </c>
      <c r="G65" s="190">
        <v>201</v>
      </c>
    </row>
    <row r="66" spans="1:26" x14ac:dyDescent="0.2">
      <c r="A66" s="196" t="s">
        <v>182</v>
      </c>
      <c r="B66" s="182" t="s">
        <v>10</v>
      </c>
      <c r="C66" s="206">
        <v>200</v>
      </c>
      <c r="D66" s="190">
        <v>0</v>
      </c>
      <c r="E66" s="190">
        <v>0</v>
      </c>
      <c r="F66" s="190">
        <v>10</v>
      </c>
      <c r="G66" s="190">
        <v>42</v>
      </c>
    </row>
    <row r="67" spans="1:26" x14ac:dyDescent="0.2">
      <c r="A67" s="196"/>
      <c r="B67" s="191" t="s">
        <v>11</v>
      </c>
      <c r="C67" s="196">
        <v>40</v>
      </c>
      <c r="D67" s="192">
        <v>3.04</v>
      </c>
      <c r="E67" s="192">
        <v>0.32</v>
      </c>
      <c r="F67" s="192">
        <v>19.68</v>
      </c>
      <c r="G67" s="192">
        <v>98.34</v>
      </c>
    </row>
    <row r="68" spans="1:26" x14ac:dyDescent="0.2">
      <c r="A68" s="262" t="s">
        <v>252</v>
      </c>
      <c r="B68" s="263"/>
      <c r="C68" s="208">
        <f>SUM(C64:C67)</f>
        <v>500</v>
      </c>
      <c r="D68" s="190"/>
      <c r="E68" s="190"/>
      <c r="F68" s="190"/>
      <c r="G68" s="190"/>
    </row>
    <row r="69" spans="1:26" ht="27.95" customHeight="1" x14ac:dyDescent="0.2">
      <c r="A69" s="266" t="s">
        <v>250</v>
      </c>
      <c r="B69" s="266"/>
      <c r="C69" s="266"/>
      <c r="D69" s="186">
        <f>D70</f>
        <v>28.65</v>
      </c>
      <c r="E69" s="186">
        <f>E70</f>
        <v>11.989999999999998</v>
      </c>
      <c r="F69" s="186">
        <f>F70</f>
        <v>73.56</v>
      </c>
      <c r="G69" s="186">
        <f>G70</f>
        <v>537.27199999999993</v>
      </c>
    </row>
    <row r="70" spans="1:26" x14ac:dyDescent="0.2">
      <c r="A70" s="187"/>
      <c r="B70" s="188" t="s">
        <v>66</v>
      </c>
      <c r="C70" s="187"/>
      <c r="D70" s="186">
        <f>D71+D72+D73+D74+D75</f>
        <v>28.65</v>
      </c>
      <c r="E70" s="186">
        <f t="shared" ref="E70:F70" si="3">E71+E72+E73+E74+E75</f>
        <v>11.989999999999998</v>
      </c>
      <c r="F70" s="186">
        <f t="shared" si="3"/>
        <v>73.56</v>
      </c>
      <c r="G70" s="186">
        <f>G71+G72+G73+G74+G75</f>
        <v>537.27199999999993</v>
      </c>
    </row>
    <row r="71" spans="1:26" ht="15" customHeight="1" x14ac:dyDescent="0.2">
      <c r="A71" s="189"/>
      <c r="B71" s="182" t="s">
        <v>168</v>
      </c>
      <c r="C71" s="189">
        <v>40</v>
      </c>
      <c r="D71" s="190">
        <v>5.08</v>
      </c>
      <c r="E71" s="190">
        <v>4.5999999999999996</v>
      </c>
      <c r="F71" s="190">
        <v>0.28000000000000003</v>
      </c>
      <c r="G71" s="190">
        <v>63.911999999999999</v>
      </c>
    </row>
    <row r="72" spans="1:26" ht="25.5" x14ac:dyDescent="0.2">
      <c r="A72" s="189" t="s">
        <v>39</v>
      </c>
      <c r="B72" s="211" t="s">
        <v>264</v>
      </c>
      <c r="C72" s="199">
        <v>120</v>
      </c>
      <c r="D72" s="200">
        <f>18.92+0.06</f>
        <v>18.98</v>
      </c>
      <c r="E72" s="200">
        <f>7.01+0.06</f>
        <v>7.0699999999999994</v>
      </c>
      <c r="F72" s="200">
        <f>15+16.77</f>
        <v>31.77</v>
      </c>
      <c r="G72" s="200">
        <v>276.77999999999997</v>
      </c>
    </row>
    <row r="73" spans="1:26" x14ac:dyDescent="0.2">
      <c r="A73" s="189"/>
      <c r="B73" s="182" t="s">
        <v>41</v>
      </c>
      <c r="C73" s="189">
        <v>100</v>
      </c>
      <c r="D73" s="190">
        <v>0.4</v>
      </c>
      <c r="E73" s="190">
        <v>0</v>
      </c>
      <c r="F73" s="190">
        <v>9.8000000000000007</v>
      </c>
      <c r="G73" s="190">
        <v>42.84</v>
      </c>
    </row>
    <row r="74" spans="1:26" x14ac:dyDescent="0.2">
      <c r="A74" s="189" t="s">
        <v>42</v>
      </c>
      <c r="B74" s="182" t="s">
        <v>223</v>
      </c>
      <c r="C74" s="189">
        <v>200</v>
      </c>
      <c r="D74" s="190">
        <v>1.1499999999999999</v>
      </c>
      <c r="E74" s="190"/>
      <c r="F74" s="190">
        <v>12.03</v>
      </c>
      <c r="G74" s="190">
        <v>55.4</v>
      </c>
    </row>
    <row r="75" spans="1:26" x14ac:dyDescent="0.2">
      <c r="A75" s="196"/>
      <c r="B75" s="191" t="s">
        <v>11</v>
      </c>
      <c r="C75" s="196">
        <v>40</v>
      </c>
      <c r="D75" s="192">
        <v>3.04</v>
      </c>
      <c r="E75" s="192">
        <v>0.32</v>
      </c>
      <c r="F75" s="192">
        <v>19.68</v>
      </c>
      <c r="G75" s="192">
        <v>98.34</v>
      </c>
    </row>
    <row r="76" spans="1:26" x14ac:dyDescent="0.2">
      <c r="A76" s="262" t="s">
        <v>252</v>
      </c>
      <c r="B76" s="263"/>
      <c r="C76" s="187">
        <f>SUM(C71:C75)</f>
        <v>500</v>
      </c>
      <c r="D76" s="190"/>
      <c r="E76" s="190"/>
      <c r="F76" s="190"/>
      <c r="G76" s="190"/>
    </row>
    <row r="77" spans="1:26" ht="27.95" customHeight="1" x14ac:dyDescent="0.2">
      <c r="A77" s="266" t="s">
        <v>251</v>
      </c>
      <c r="B77" s="266"/>
      <c r="C77" s="266"/>
      <c r="D77" s="186">
        <f>D78</f>
        <v>24.859999999999996</v>
      </c>
      <c r="E77" s="186">
        <f>E78</f>
        <v>13.040000000000001</v>
      </c>
      <c r="F77" s="186">
        <f>F78</f>
        <v>74.819999999999993</v>
      </c>
      <c r="G77" s="186">
        <f>G78</f>
        <v>536.82000000000005</v>
      </c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2"/>
    </row>
    <row r="78" spans="1:26" x14ac:dyDescent="0.2">
      <c r="A78" s="187"/>
      <c r="B78" s="188" t="s">
        <v>66</v>
      </c>
      <c r="C78" s="187"/>
      <c r="D78" s="186">
        <f>D79+D80+D81+D82+D83</f>
        <v>24.859999999999996</v>
      </c>
      <c r="E78" s="186">
        <f>E79+E80+E81+E82+E83</f>
        <v>13.040000000000001</v>
      </c>
      <c r="F78" s="186">
        <f>F79+F80+F81+F82+F83</f>
        <v>74.819999999999993</v>
      </c>
      <c r="G78" s="186">
        <f>G79+G80+G81+G82+G83</f>
        <v>536.82000000000005</v>
      </c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2"/>
    </row>
    <row r="79" spans="1:26" x14ac:dyDescent="0.2">
      <c r="A79" s="189" t="s">
        <v>233</v>
      </c>
      <c r="B79" s="182" t="s">
        <v>170</v>
      </c>
      <c r="C79" s="189">
        <v>100</v>
      </c>
      <c r="D79" s="190">
        <v>17.829999999999998</v>
      </c>
      <c r="E79" s="190">
        <v>7.99</v>
      </c>
      <c r="F79" s="190">
        <v>4.25</v>
      </c>
      <c r="G79" s="190">
        <v>165</v>
      </c>
      <c r="H79" s="197"/>
      <c r="I79" s="197"/>
      <c r="J79" s="197"/>
      <c r="K79" s="197"/>
      <c r="L79" s="197"/>
      <c r="M79" s="197"/>
      <c r="N79" s="197"/>
      <c r="O79" s="184"/>
      <c r="P79" s="197"/>
      <c r="Q79" s="197"/>
      <c r="R79" s="197"/>
      <c r="S79" s="197"/>
      <c r="T79" s="197"/>
      <c r="U79" s="197"/>
      <c r="V79" s="197"/>
      <c r="W79" s="197"/>
      <c r="X79" s="197"/>
      <c r="Y79" s="197"/>
    </row>
    <row r="80" spans="1:26" x14ac:dyDescent="0.2">
      <c r="A80" s="189" t="s">
        <v>189</v>
      </c>
      <c r="B80" s="182" t="s">
        <v>159</v>
      </c>
      <c r="C80" s="189">
        <v>150</v>
      </c>
      <c r="D80" s="190">
        <v>3.81</v>
      </c>
      <c r="E80" s="190">
        <v>2.72</v>
      </c>
      <c r="F80" s="190">
        <v>40</v>
      </c>
      <c r="G80" s="190">
        <v>208.48</v>
      </c>
      <c r="H80" s="197"/>
      <c r="I80" s="197"/>
      <c r="J80" s="197"/>
      <c r="K80" s="197"/>
      <c r="L80" s="197"/>
      <c r="M80" s="184"/>
      <c r="N80" s="184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</row>
    <row r="81" spans="1:25" x14ac:dyDescent="0.2">
      <c r="A81" s="206" t="s">
        <v>191</v>
      </c>
      <c r="B81" s="182" t="s">
        <v>171</v>
      </c>
      <c r="C81" s="189">
        <v>20</v>
      </c>
      <c r="D81" s="190">
        <v>0.18</v>
      </c>
      <c r="E81" s="190">
        <v>2.0099999999999998</v>
      </c>
      <c r="F81" s="190">
        <v>0.89</v>
      </c>
      <c r="G81" s="190">
        <v>23</v>
      </c>
      <c r="H81" s="197"/>
      <c r="I81" s="184"/>
      <c r="J81" s="197"/>
      <c r="K81" s="197"/>
      <c r="L81" s="197"/>
      <c r="M81" s="197"/>
      <c r="N81" s="197"/>
      <c r="O81" s="184"/>
      <c r="P81" s="184"/>
      <c r="Q81" s="184"/>
      <c r="R81" s="184"/>
      <c r="S81" s="184"/>
      <c r="T81" s="184"/>
      <c r="U81" s="184"/>
      <c r="V81" s="197"/>
      <c r="W81" s="184"/>
      <c r="X81" s="184"/>
      <c r="Y81" s="197"/>
    </row>
    <row r="82" spans="1:25" x14ac:dyDescent="0.2">
      <c r="A82" s="196" t="s">
        <v>182</v>
      </c>
      <c r="B82" s="182" t="s">
        <v>10</v>
      </c>
      <c r="C82" s="206">
        <v>200</v>
      </c>
      <c r="D82" s="190">
        <v>0</v>
      </c>
      <c r="E82" s="190">
        <v>0</v>
      </c>
      <c r="F82" s="190">
        <v>10</v>
      </c>
      <c r="G82" s="190">
        <v>42</v>
      </c>
      <c r="H82" s="197"/>
      <c r="I82" s="184"/>
      <c r="J82" s="197"/>
      <c r="K82" s="197"/>
      <c r="L82" s="197"/>
      <c r="M82" s="197"/>
      <c r="N82" s="197"/>
      <c r="O82" s="184"/>
      <c r="P82" s="184"/>
      <c r="Q82" s="184"/>
      <c r="R82" s="184"/>
      <c r="S82" s="184"/>
      <c r="T82" s="184"/>
      <c r="U82" s="184"/>
      <c r="V82" s="197"/>
      <c r="W82" s="184"/>
      <c r="X82" s="184"/>
      <c r="Y82" s="197"/>
    </row>
    <row r="83" spans="1:25" x14ac:dyDescent="0.2">
      <c r="A83" s="196"/>
      <c r="B83" s="191" t="s">
        <v>11</v>
      </c>
      <c r="C83" s="196">
        <v>40</v>
      </c>
      <c r="D83" s="192">
        <v>3.04</v>
      </c>
      <c r="E83" s="192">
        <v>0.32</v>
      </c>
      <c r="F83" s="192">
        <v>19.68</v>
      </c>
      <c r="G83" s="192">
        <v>98.34</v>
      </c>
      <c r="H83" s="197"/>
      <c r="I83" s="198"/>
      <c r="J83" s="197"/>
      <c r="K83" s="197"/>
      <c r="L83" s="198"/>
      <c r="M83" s="184"/>
      <c r="N83" s="184"/>
      <c r="O83" s="184"/>
      <c r="P83" s="184"/>
      <c r="Q83" s="184"/>
      <c r="R83" s="184"/>
      <c r="S83" s="184"/>
      <c r="T83" s="184"/>
      <c r="U83" s="184"/>
      <c r="V83" s="197"/>
      <c r="W83" s="184"/>
      <c r="X83" s="184"/>
      <c r="Y83" s="198"/>
    </row>
    <row r="84" spans="1:25" x14ac:dyDescent="0.2">
      <c r="A84" s="262" t="s">
        <v>252</v>
      </c>
      <c r="B84" s="263"/>
      <c r="C84" s="208">
        <f>SUM(C79:C83)</f>
        <v>510</v>
      </c>
      <c r="D84" s="189"/>
      <c r="E84" s="189"/>
      <c r="F84" s="189"/>
      <c r="G84" s="189"/>
      <c r="H84" s="203"/>
      <c r="I84" s="204"/>
      <c r="J84" s="203"/>
      <c r="K84" s="203"/>
      <c r="L84" s="203"/>
      <c r="M84" s="205"/>
      <c r="N84" s="205"/>
      <c r="O84" s="204"/>
      <c r="P84" s="204"/>
      <c r="Q84" s="204"/>
      <c r="R84" s="204"/>
      <c r="S84" s="204"/>
      <c r="T84" s="204"/>
      <c r="U84" s="204"/>
      <c r="V84" s="205"/>
      <c r="W84" s="204"/>
      <c r="X84" s="204"/>
      <c r="Y84" s="205"/>
    </row>
    <row r="85" spans="1:25" x14ac:dyDescent="0.2">
      <c r="A85" s="269" t="s">
        <v>265</v>
      </c>
      <c r="B85" s="269"/>
      <c r="C85" s="269"/>
      <c r="D85" s="232">
        <f>D86</f>
        <v>17.190000000000001</v>
      </c>
      <c r="E85" s="232">
        <f>E86</f>
        <v>20.77</v>
      </c>
      <c r="F85" s="232">
        <f>F86</f>
        <v>96.19</v>
      </c>
      <c r="G85" s="232">
        <f>G86</f>
        <v>664.29000000000008</v>
      </c>
    </row>
    <row r="86" spans="1:25" x14ac:dyDescent="0.2">
      <c r="A86" s="233"/>
      <c r="B86" s="234" t="s">
        <v>66</v>
      </c>
      <c r="C86" s="233"/>
      <c r="D86" s="232">
        <f>D87+D88+D89+D90+D91+D92</f>
        <v>17.190000000000001</v>
      </c>
      <c r="E86" s="232">
        <f t="shared" ref="E86:G86" si="4">E87+E88+E89+E90+E91+E92</f>
        <v>20.77</v>
      </c>
      <c r="F86" s="232">
        <f t="shared" si="4"/>
        <v>96.19</v>
      </c>
      <c r="G86" s="232">
        <f t="shared" si="4"/>
        <v>664.29000000000008</v>
      </c>
    </row>
    <row r="87" spans="1:25" x14ac:dyDescent="0.2">
      <c r="A87" s="235" t="s">
        <v>181</v>
      </c>
      <c r="B87" s="236" t="s">
        <v>35</v>
      </c>
      <c r="C87" s="235">
        <v>10</v>
      </c>
      <c r="D87" s="237">
        <v>2.6</v>
      </c>
      <c r="E87" s="237">
        <v>2.65</v>
      </c>
      <c r="F87" s="237">
        <v>0.35</v>
      </c>
      <c r="G87" s="237">
        <v>36.24</v>
      </c>
    </row>
    <row r="88" spans="1:25" x14ac:dyDescent="0.2">
      <c r="A88" s="235" t="s">
        <v>179</v>
      </c>
      <c r="B88" s="236" t="s">
        <v>136</v>
      </c>
      <c r="C88" s="235">
        <v>5</v>
      </c>
      <c r="D88" s="237">
        <v>0.05</v>
      </c>
      <c r="E88" s="237">
        <v>3.63</v>
      </c>
      <c r="F88" s="237">
        <v>7.0000000000000007E-2</v>
      </c>
      <c r="G88" s="237">
        <v>33.11</v>
      </c>
    </row>
    <row r="89" spans="1:25" ht="25.5" x14ac:dyDescent="0.2">
      <c r="A89" s="235" t="s">
        <v>180</v>
      </c>
      <c r="B89" s="236" t="s">
        <v>208</v>
      </c>
      <c r="C89" s="235">
        <v>205</v>
      </c>
      <c r="D89" s="237">
        <v>8.5</v>
      </c>
      <c r="E89" s="237">
        <v>9.4499999999999993</v>
      </c>
      <c r="F89" s="237">
        <v>36.130000000000003</v>
      </c>
      <c r="G89" s="237">
        <v>272.60000000000002</v>
      </c>
    </row>
    <row r="90" spans="1:25" x14ac:dyDescent="0.2">
      <c r="A90" s="235"/>
      <c r="B90" s="236" t="s">
        <v>62</v>
      </c>
      <c r="C90" s="235">
        <v>40</v>
      </c>
      <c r="D90" s="237">
        <v>3</v>
      </c>
      <c r="E90" s="237">
        <v>4.72</v>
      </c>
      <c r="F90" s="237">
        <v>29.96</v>
      </c>
      <c r="G90" s="237">
        <v>182</v>
      </c>
    </row>
    <row r="91" spans="1:25" x14ac:dyDescent="0.2">
      <c r="A91" s="238" t="s">
        <v>182</v>
      </c>
      <c r="B91" s="236" t="s">
        <v>10</v>
      </c>
      <c r="C91" s="239">
        <v>200</v>
      </c>
      <c r="D91" s="237">
        <v>0</v>
      </c>
      <c r="E91" s="237">
        <v>0</v>
      </c>
      <c r="F91" s="237">
        <v>10</v>
      </c>
      <c r="G91" s="237">
        <v>42</v>
      </c>
    </row>
    <row r="92" spans="1:25" x14ac:dyDescent="0.2">
      <c r="A92" s="235"/>
      <c r="B92" s="236" t="s">
        <v>11</v>
      </c>
      <c r="C92" s="235">
        <v>40</v>
      </c>
      <c r="D92" s="237">
        <v>3.04</v>
      </c>
      <c r="E92" s="237">
        <v>0.32</v>
      </c>
      <c r="F92" s="237">
        <v>19.68</v>
      </c>
      <c r="G92" s="237">
        <v>98.34</v>
      </c>
    </row>
    <row r="93" spans="1:25" x14ac:dyDescent="0.2">
      <c r="A93" s="270" t="s">
        <v>252</v>
      </c>
      <c r="B93" s="271"/>
      <c r="C93" s="240">
        <f>SUM(C87:C92)</f>
        <v>500</v>
      </c>
      <c r="D93" s="241"/>
      <c r="E93" s="241"/>
      <c r="F93" s="241"/>
      <c r="G93" s="241"/>
    </row>
    <row r="94" spans="1:25" x14ac:dyDescent="0.2">
      <c r="A94" s="269" t="s">
        <v>266</v>
      </c>
      <c r="B94" s="269"/>
      <c r="C94" s="269"/>
      <c r="D94" s="232">
        <f>D95</f>
        <v>24.979999999999997</v>
      </c>
      <c r="E94" s="232">
        <f>E95</f>
        <v>17.579999999999998</v>
      </c>
      <c r="F94" s="232">
        <f>F95</f>
        <v>88.259999999999991</v>
      </c>
      <c r="G94" s="232">
        <f>G95</f>
        <v>634.74</v>
      </c>
    </row>
    <row r="95" spans="1:25" x14ac:dyDescent="0.2">
      <c r="A95" s="233"/>
      <c r="B95" s="234" t="s">
        <v>66</v>
      </c>
      <c r="C95" s="233"/>
      <c r="D95" s="232">
        <f>D96+D97+D98+D99+D100</f>
        <v>24.979999999999997</v>
      </c>
      <c r="E95" s="232">
        <f t="shared" ref="E95:G95" si="5">E96+E97+E98+E99+E100</f>
        <v>17.579999999999998</v>
      </c>
      <c r="F95" s="232">
        <f t="shared" si="5"/>
        <v>88.259999999999991</v>
      </c>
      <c r="G95" s="232">
        <f t="shared" si="5"/>
        <v>634.74</v>
      </c>
    </row>
    <row r="96" spans="1:25" x14ac:dyDescent="0.2">
      <c r="A96" s="238" t="s">
        <v>131</v>
      </c>
      <c r="B96" s="242" t="s">
        <v>146</v>
      </c>
      <c r="C96" s="235">
        <v>90</v>
      </c>
      <c r="D96" s="237">
        <v>11.84</v>
      </c>
      <c r="E96" s="237">
        <v>10.06</v>
      </c>
      <c r="F96" s="237">
        <v>16.03</v>
      </c>
      <c r="G96" s="237">
        <v>208</v>
      </c>
    </row>
    <row r="97" spans="1:7" x14ac:dyDescent="0.2">
      <c r="A97" s="238" t="s">
        <v>38</v>
      </c>
      <c r="B97" s="242" t="s">
        <v>36</v>
      </c>
      <c r="C97" s="235">
        <v>150</v>
      </c>
      <c r="D97" s="237">
        <v>8.77</v>
      </c>
      <c r="E97" s="237">
        <v>5.19</v>
      </c>
      <c r="F97" s="237">
        <v>39.630000000000003</v>
      </c>
      <c r="G97" s="237">
        <v>250</v>
      </c>
    </row>
    <row r="98" spans="1:7" x14ac:dyDescent="0.2">
      <c r="A98" s="239" t="s">
        <v>191</v>
      </c>
      <c r="B98" s="236" t="s">
        <v>171</v>
      </c>
      <c r="C98" s="235">
        <v>20</v>
      </c>
      <c r="D98" s="237">
        <v>0.18</v>
      </c>
      <c r="E98" s="237">
        <v>2.0099999999999998</v>
      </c>
      <c r="F98" s="237">
        <v>0.89</v>
      </c>
      <c r="G98" s="237">
        <v>23</v>
      </c>
    </row>
    <row r="99" spans="1:7" x14ac:dyDescent="0.2">
      <c r="A99" s="189" t="s">
        <v>42</v>
      </c>
      <c r="B99" s="182" t="s">
        <v>223</v>
      </c>
      <c r="C99" s="189">
        <v>200</v>
      </c>
      <c r="D99" s="190">
        <v>1.1499999999999999</v>
      </c>
      <c r="E99" s="190"/>
      <c r="F99" s="190">
        <v>12.03</v>
      </c>
      <c r="G99" s="190">
        <v>55.4</v>
      </c>
    </row>
    <row r="100" spans="1:7" x14ac:dyDescent="0.2">
      <c r="A100" s="235"/>
      <c r="B100" s="236" t="s">
        <v>11</v>
      </c>
      <c r="C100" s="235">
        <v>40</v>
      </c>
      <c r="D100" s="237">
        <v>3.04</v>
      </c>
      <c r="E100" s="237">
        <v>0.32</v>
      </c>
      <c r="F100" s="237">
        <v>19.68</v>
      </c>
      <c r="G100" s="237">
        <v>98.34</v>
      </c>
    </row>
    <row r="101" spans="1:7" x14ac:dyDescent="0.2">
      <c r="A101" s="270" t="s">
        <v>252</v>
      </c>
      <c r="B101" s="271"/>
      <c r="C101" s="233">
        <f>SUM(C96:C100)</f>
        <v>500</v>
      </c>
      <c r="D101" s="237"/>
      <c r="E101" s="237"/>
      <c r="F101" s="237"/>
      <c r="G101" s="237"/>
    </row>
    <row r="102" spans="1:7" x14ac:dyDescent="0.2">
      <c r="A102" s="269" t="s">
        <v>267</v>
      </c>
      <c r="B102" s="269"/>
      <c r="C102" s="269"/>
      <c r="D102" s="232">
        <f>D103</f>
        <v>19.12</v>
      </c>
      <c r="E102" s="232">
        <f>E103</f>
        <v>26.980000000000004</v>
      </c>
      <c r="F102" s="232">
        <f>F103</f>
        <v>63.43</v>
      </c>
      <c r="G102" s="232">
        <f>G103</f>
        <v>585.66000000000008</v>
      </c>
    </row>
    <row r="103" spans="1:7" x14ac:dyDescent="0.2">
      <c r="A103" s="233"/>
      <c r="B103" s="234" t="s">
        <v>66</v>
      </c>
      <c r="C103" s="233"/>
      <c r="D103" s="232">
        <f>D104+D105+D106+D107+D108</f>
        <v>19.12</v>
      </c>
      <c r="E103" s="232">
        <f t="shared" ref="E103:G103" si="6">E104+E105+E106+E107+E108</f>
        <v>26.980000000000004</v>
      </c>
      <c r="F103" s="232">
        <f t="shared" si="6"/>
        <v>63.43</v>
      </c>
      <c r="G103" s="232">
        <f t="shared" si="6"/>
        <v>585.66000000000008</v>
      </c>
    </row>
    <row r="104" spans="1:7" x14ac:dyDescent="0.2">
      <c r="A104" s="238"/>
      <c r="B104" s="236" t="s">
        <v>41</v>
      </c>
      <c r="C104" s="235">
        <v>100</v>
      </c>
      <c r="D104" s="237">
        <v>0.4</v>
      </c>
      <c r="E104" s="237">
        <v>0</v>
      </c>
      <c r="F104" s="237">
        <v>9.8000000000000007</v>
      </c>
      <c r="G104" s="237">
        <v>42.84</v>
      </c>
    </row>
    <row r="105" spans="1:7" x14ac:dyDescent="0.2">
      <c r="A105" s="235" t="s">
        <v>269</v>
      </c>
      <c r="B105" s="236" t="s">
        <v>268</v>
      </c>
      <c r="C105" s="235">
        <v>150</v>
      </c>
      <c r="D105" s="237">
        <v>14.58</v>
      </c>
      <c r="E105" s="237">
        <v>19.3</v>
      </c>
      <c r="F105" s="237">
        <v>2.81</v>
      </c>
      <c r="G105" s="237">
        <v>243.26</v>
      </c>
    </row>
    <row r="106" spans="1:7" ht="25.5" x14ac:dyDescent="0.2">
      <c r="A106" s="235" t="s">
        <v>42</v>
      </c>
      <c r="B106" s="236" t="s">
        <v>224</v>
      </c>
      <c r="C106" s="235">
        <v>200</v>
      </c>
      <c r="D106" s="237">
        <v>1</v>
      </c>
      <c r="E106" s="237">
        <v>0.1</v>
      </c>
      <c r="F106" s="237">
        <v>31</v>
      </c>
      <c r="G106" s="237">
        <v>135</v>
      </c>
    </row>
    <row r="107" spans="1:7" x14ac:dyDescent="0.2">
      <c r="A107" s="235" t="s">
        <v>179</v>
      </c>
      <c r="B107" s="236" t="s">
        <v>136</v>
      </c>
      <c r="C107" s="235">
        <v>10</v>
      </c>
      <c r="D107" s="237">
        <v>0.1</v>
      </c>
      <c r="E107" s="237">
        <v>7.26</v>
      </c>
      <c r="F107" s="237">
        <v>0.14000000000000001</v>
      </c>
      <c r="G107" s="237">
        <v>66.22</v>
      </c>
    </row>
    <row r="108" spans="1:7" x14ac:dyDescent="0.2">
      <c r="A108" s="238"/>
      <c r="B108" s="236" t="s">
        <v>11</v>
      </c>
      <c r="C108" s="235">
        <v>40</v>
      </c>
      <c r="D108" s="237">
        <v>3.04</v>
      </c>
      <c r="E108" s="237">
        <v>0.32</v>
      </c>
      <c r="F108" s="237">
        <v>19.68</v>
      </c>
      <c r="G108" s="237">
        <v>98.34</v>
      </c>
    </row>
    <row r="109" spans="1:7" x14ac:dyDescent="0.2">
      <c r="A109" s="270" t="s">
        <v>252</v>
      </c>
      <c r="B109" s="271"/>
      <c r="C109" s="233">
        <f>C104+C105+C106+C107+C108</f>
        <v>500</v>
      </c>
      <c r="D109" s="237"/>
      <c r="E109" s="237"/>
      <c r="F109" s="237"/>
      <c r="G109" s="237"/>
    </row>
    <row r="110" spans="1:7" x14ac:dyDescent="0.2">
      <c r="A110" s="269" t="s">
        <v>278</v>
      </c>
      <c r="B110" s="269"/>
      <c r="C110" s="269"/>
      <c r="D110" s="232">
        <f>D111</f>
        <v>19.84</v>
      </c>
      <c r="E110" s="232">
        <f>E111</f>
        <v>16.079999999999998</v>
      </c>
      <c r="F110" s="232">
        <f>F111</f>
        <v>89.4</v>
      </c>
      <c r="G110" s="232">
        <f>G111</f>
        <v>596.24</v>
      </c>
    </row>
    <row r="111" spans="1:7" x14ac:dyDescent="0.2">
      <c r="A111" s="233"/>
      <c r="B111" s="234" t="s">
        <v>66</v>
      </c>
      <c r="C111" s="233"/>
      <c r="D111" s="232">
        <f>D112+D113+D114+D115</f>
        <v>19.84</v>
      </c>
      <c r="E111" s="232">
        <f t="shared" ref="E111:G111" si="7">E112+E113+E114+E115</f>
        <v>16.079999999999998</v>
      </c>
      <c r="F111" s="232">
        <f t="shared" si="7"/>
        <v>89.4</v>
      </c>
      <c r="G111" s="232">
        <f t="shared" si="7"/>
        <v>596.24</v>
      </c>
    </row>
    <row r="112" spans="1:7" x14ac:dyDescent="0.2">
      <c r="A112" s="238" t="s">
        <v>271</v>
      </c>
      <c r="B112" s="236" t="s">
        <v>270</v>
      </c>
      <c r="C112" s="235">
        <v>105</v>
      </c>
      <c r="D112" s="237">
        <v>10.25</v>
      </c>
      <c r="E112" s="237">
        <v>12.84</v>
      </c>
      <c r="F112" s="237">
        <v>3.3</v>
      </c>
      <c r="G112" s="237">
        <v>169.76</v>
      </c>
    </row>
    <row r="113" spans="1:7" x14ac:dyDescent="0.2">
      <c r="A113" s="235" t="s">
        <v>33</v>
      </c>
      <c r="B113" s="236" t="s">
        <v>12</v>
      </c>
      <c r="C113" s="235">
        <v>150</v>
      </c>
      <c r="D113" s="237">
        <v>5.64</v>
      </c>
      <c r="E113" s="237">
        <v>2.84</v>
      </c>
      <c r="F113" s="237">
        <v>36</v>
      </c>
      <c r="G113" s="237">
        <v>201</v>
      </c>
    </row>
    <row r="114" spans="1:7" x14ac:dyDescent="0.2">
      <c r="A114" s="238" t="s">
        <v>273</v>
      </c>
      <c r="B114" s="243" t="s">
        <v>272</v>
      </c>
      <c r="C114" s="235">
        <v>200</v>
      </c>
      <c r="D114" s="237">
        <v>0.15</v>
      </c>
      <c r="E114" s="237">
        <v>0</v>
      </c>
      <c r="F114" s="237">
        <v>25.5</v>
      </c>
      <c r="G114" s="237">
        <v>102.58</v>
      </c>
    </row>
    <row r="115" spans="1:7" x14ac:dyDescent="0.2">
      <c r="A115" s="235"/>
      <c r="B115" s="236" t="s">
        <v>11</v>
      </c>
      <c r="C115" s="235">
        <v>50</v>
      </c>
      <c r="D115" s="237">
        <v>3.8</v>
      </c>
      <c r="E115" s="237">
        <v>0.4</v>
      </c>
      <c r="F115" s="237">
        <v>24.6</v>
      </c>
      <c r="G115" s="237">
        <v>122.9</v>
      </c>
    </row>
    <row r="116" spans="1:7" x14ac:dyDescent="0.2">
      <c r="A116" s="270" t="s">
        <v>252</v>
      </c>
      <c r="B116" s="271"/>
      <c r="C116" s="233">
        <f>C115+C114+C113+C112</f>
        <v>505</v>
      </c>
      <c r="D116" s="237"/>
      <c r="E116" s="237"/>
      <c r="F116" s="237"/>
      <c r="G116" s="237"/>
    </row>
    <row r="117" spans="1:7" x14ac:dyDescent="0.2">
      <c r="A117" s="269" t="s">
        <v>279</v>
      </c>
      <c r="B117" s="269"/>
      <c r="C117" s="269"/>
      <c r="D117" s="232">
        <f>D118</f>
        <v>15.45</v>
      </c>
      <c r="E117" s="232">
        <f>E118</f>
        <v>23.09</v>
      </c>
      <c r="F117" s="232">
        <f>F118</f>
        <v>62.269999999999996</v>
      </c>
      <c r="G117" s="232">
        <f>G118</f>
        <v>534.32000000000005</v>
      </c>
    </row>
    <row r="118" spans="1:7" x14ac:dyDescent="0.2">
      <c r="A118" s="233"/>
      <c r="B118" s="234" t="s">
        <v>66</v>
      </c>
      <c r="C118" s="233"/>
      <c r="D118" s="232">
        <f>D119+D120+D121+D122</f>
        <v>15.45</v>
      </c>
      <c r="E118" s="232">
        <f t="shared" ref="E118:G118" si="8">E119+E120+E121+E122</f>
        <v>23.09</v>
      </c>
      <c r="F118" s="232">
        <f t="shared" si="8"/>
        <v>62.269999999999996</v>
      </c>
      <c r="G118" s="232">
        <f t="shared" si="8"/>
        <v>534.32000000000005</v>
      </c>
    </row>
    <row r="119" spans="1:7" x14ac:dyDescent="0.2">
      <c r="A119" s="238" t="s">
        <v>162</v>
      </c>
      <c r="B119" s="236" t="s">
        <v>163</v>
      </c>
      <c r="C119" s="244">
        <v>110</v>
      </c>
      <c r="D119" s="237">
        <v>9.15</v>
      </c>
      <c r="E119" s="237">
        <v>14.97</v>
      </c>
      <c r="F119" s="237">
        <v>10.6</v>
      </c>
      <c r="G119" s="237">
        <v>217.68</v>
      </c>
    </row>
    <row r="120" spans="1:7" x14ac:dyDescent="0.2">
      <c r="A120" s="235" t="s">
        <v>34</v>
      </c>
      <c r="B120" s="236" t="s">
        <v>32</v>
      </c>
      <c r="C120" s="235">
        <v>150</v>
      </c>
      <c r="D120" s="237">
        <v>3.26</v>
      </c>
      <c r="E120" s="237">
        <v>7.8</v>
      </c>
      <c r="F120" s="237">
        <v>21.99</v>
      </c>
      <c r="G120" s="237">
        <v>176.3</v>
      </c>
    </row>
    <row r="121" spans="1:7" x14ac:dyDescent="0.2">
      <c r="A121" s="239" t="s">
        <v>182</v>
      </c>
      <c r="B121" s="236" t="s">
        <v>10</v>
      </c>
      <c r="C121" s="239">
        <v>200</v>
      </c>
      <c r="D121" s="237">
        <v>0</v>
      </c>
      <c r="E121" s="237">
        <v>0</v>
      </c>
      <c r="F121" s="237">
        <v>10</v>
      </c>
      <c r="G121" s="237">
        <v>42</v>
      </c>
    </row>
    <row r="122" spans="1:7" x14ac:dyDescent="0.2">
      <c r="A122" s="238"/>
      <c r="B122" s="236" t="s">
        <v>11</v>
      </c>
      <c r="C122" s="235">
        <v>40</v>
      </c>
      <c r="D122" s="237">
        <v>3.04</v>
      </c>
      <c r="E122" s="237">
        <v>0.32</v>
      </c>
      <c r="F122" s="237">
        <v>19.68</v>
      </c>
      <c r="G122" s="237">
        <v>98.34</v>
      </c>
    </row>
    <row r="123" spans="1:7" x14ac:dyDescent="0.2">
      <c r="A123" s="270" t="s">
        <v>252</v>
      </c>
      <c r="B123" s="271"/>
      <c r="C123" s="233">
        <f>SUM(C119:C122)</f>
        <v>500</v>
      </c>
      <c r="D123" s="237"/>
      <c r="E123" s="237"/>
      <c r="F123" s="237"/>
      <c r="G123" s="237"/>
    </row>
    <row r="124" spans="1:7" x14ac:dyDescent="0.2">
      <c r="A124" s="269" t="s">
        <v>280</v>
      </c>
      <c r="B124" s="269"/>
      <c r="C124" s="269"/>
      <c r="D124" s="232">
        <f>D125</f>
        <v>12.59</v>
      </c>
      <c r="E124" s="232">
        <f t="shared" ref="E124:G124" si="9">E125</f>
        <v>6.6800000000000006</v>
      </c>
      <c r="F124" s="232">
        <f t="shared" si="9"/>
        <v>88.600000000000023</v>
      </c>
      <c r="G124" s="232">
        <f t="shared" si="9"/>
        <v>486.17000000000007</v>
      </c>
    </row>
    <row r="125" spans="1:7" x14ac:dyDescent="0.2">
      <c r="A125" s="233"/>
      <c r="B125" s="234" t="s">
        <v>66</v>
      </c>
      <c r="C125" s="233"/>
      <c r="D125" s="232">
        <f>D126+D127+D128+D129</f>
        <v>12.59</v>
      </c>
      <c r="E125" s="232">
        <f t="shared" ref="E125:G125" si="10">E126+E127+E128+E129</f>
        <v>6.6800000000000006</v>
      </c>
      <c r="F125" s="232">
        <f t="shared" si="10"/>
        <v>88.600000000000023</v>
      </c>
      <c r="G125" s="232">
        <f t="shared" si="10"/>
        <v>486.17000000000007</v>
      </c>
    </row>
    <row r="126" spans="1:7" x14ac:dyDescent="0.2">
      <c r="A126" s="238"/>
      <c r="B126" s="236" t="s">
        <v>41</v>
      </c>
      <c r="C126" s="235">
        <v>100</v>
      </c>
      <c r="D126" s="237">
        <v>0.4</v>
      </c>
      <c r="E126" s="237">
        <v>0</v>
      </c>
      <c r="F126" s="237">
        <v>9.8000000000000007</v>
      </c>
      <c r="G126" s="237">
        <v>42.84</v>
      </c>
    </row>
    <row r="127" spans="1:7" ht="25.5" x14ac:dyDescent="0.2">
      <c r="A127" s="235" t="s">
        <v>180</v>
      </c>
      <c r="B127" s="236" t="s">
        <v>209</v>
      </c>
      <c r="C127" s="235">
        <v>203</v>
      </c>
      <c r="D127" s="237">
        <v>7.16</v>
      </c>
      <c r="E127" s="237">
        <v>4.66</v>
      </c>
      <c r="F127" s="237">
        <v>40.520000000000003</v>
      </c>
      <c r="G127" s="237">
        <v>242.96</v>
      </c>
    </row>
    <row r="128" spans="1:7" x14ac:dyDescent="0.2">
      <c r="A128" s="235" t="s">
        <v>183</v>
      </c>
      <c r="B128" s="236" t="s">
        <v>51</v>
      </c>
      <c r="C128" s="235">
        <v>200</v>
      </c>
      <c r="D128" s="237">
        <v>1.99</v>
      </c>
      <c r="E128" s="237">
        <v>1.7</v>
      </c>
      <c r="F128" s="237">
        <v>18.600000000000001</v>
      </c>
      <c r="G128" s="237">
        <v>102.03</v>
      </c>
    </row>
    <row r="129" spans="1:7" x14ac:dyDescent="0.2">
      <c r="A129" s="239"/>
      <c r="B129" s="236" t="s">
        <v>11</v>
      </c>
      <c r="C129" s="235">
        <v>40</v>
      </c>
      <c r="D129" s="237">
        <v>3.04</v>
      </c>
      <c r="E129" s="237">
        <v>0.32</v>
      </c>
      <c r="F129" s="237">
        <v>19.68</v>
      </c>
      <c r="G129" s="237">
        <v>98.34</v>
      </c>
    </row>
    <row r="130" spans="1:7" x14ac:dyDescent="0.2">
      <c r="A130" s="270" t="s">
        <v>252</v>
      </c>
      <c r="B130" s="271"/>
      <c r="C130" s="240">
        <f>C129+C128+C127+C126</f>
        <v>543</v>
      </c>
      <c r="D130" s="241"/>
      <c r="E130" s="241"/>
      <c r="F130" s="241"/>
      <c r="G130" s="241"/>
    </row>
    <row r="131" spans="1:7" x14ac:dyDescent="0.2">
      <c r="A131" s="269" t="s">
        <v>281</v>
      </c>
      <c r="B131" s="269"/>
      <c r="C131" s="269"/>
      <c r="D131" s="232">
        <f>D132</f>
        <v>24.199999999999996</v>
      </c>
      <c r="E131" s="232">
        <f>E132</f>
        <v>17.8</v>
      </c>
      <c r="F131" s="232">
        <f>F132</f>
        <v>72.650000000000006</v>
      </c>
      <c r="G131" s="232">
        <f>G132</f>
        <v>563.76</v>
      </c>
    </row>
    <row r="132" spans="1:7" x14ac:dyDescent="0.2">
      <c r="A132" s="233"/>
      <c r="B132" s="234" t="s">
        <v>66</v>
      </c>
      <c r="C132" s="233"/>
      <c r="D132" s="232">
        <f>D133+D134+D135+D136</f>
        <v>24.199999999999996</v>
      </c>
      <c r="E132" s="232">
        <f t="shared" ref="E132:G132" si="11">E133+E134+E135+E136</f>
        <v>17.8</v>
      </c>
      <c r="F132" s="232">
        <f t="shared" si="11"/>
        <v>72.650000000000006</v>
      </c>
      <c r="G132" s="232">
        <f t="shared" si="11"/>
        <v>563.76</v>
      </c>
    </row>
    <row r="133" spans="1:7" x14ac:dyDescent="0.2">
      <c r="A133" s="238" t="s">
        <v>275</v>
      </c>
      <c r="B133" s="236" t="s">
        <v>274</v>
      </c>
      <c r="C133" s="235">
        <v>110</v>
      </c>
      <c r="D133" s="237">
        <v>14.37</v>
      </c>
      <c r="E133" s="237">
        <v>14.64</v>
      </c>
      <c r="F133" s="237">
        <v>4.9400000000000004</v>
      </c>
      <c r="G133" s="237">
        <v>209.02</v>
      </c>
    </row>
    <row r="134" spans="1:7" x14ac:dyDescent="0.2">
      <c r="A134" s="235" t="s">
        <v>33</v>
      </c>
      <c r="B134" s="236" t="s">
        <v>12</v>
      </c>
      <c r="C134" s="235">
        <v>150</v>
      </c>
      <c r="D134" s="237">
        <v>5.64</v>
      </c>
      <c r="E134" s="237">
        <v>2.84</v>
      </c>
      <c r="F134" s="237">
        <v>36</v>
      </c>
      <c r="G134" s="237">
        <v>201</v>
      </c>
    </row>
    <row r="135" spans="1:7" x14ac:dyDescent="0.2">
      <c r="A135" s="235" t="s">
        <v>42</v>
      </c>
      <c r="B135" s="236" t="s">
        <v>223</v>
      </c>
      <c r="C135" s="235">
        <v>200</v>
      </c>
      <c r="D135" s="237">
        <v>1.1499999999999999</v>
      </c>
      <c r="E135" s="237"/>
      <c r="F135" s="237">
        <v>12.03</v>
      </c>
      <c r="G135" s="237">
        <v>55.4</v>
      </c>
    </row>
    <row r="136" spans="1:7" x14ac:dyDescent="0.2">
      <c r="A136" s="235"/>
      <c r="B136" s="236" t="s">
        <v>11</v>
      </c>
      <c r="C136" s="235">
        <v>40</v>
      </c>
      <c r="D136" s="237">
        <v>3.04</v>
      </c>
      <c r="E136" s="237">
        <v>0.32</v>
      </c>
      <c r="F136" s="237">
        <v>19.68</v>
      </c>
      <c r="G136" s="237">
        <v>98.34</v>
      </c>
    </row>
    <row r="137" spans="1:7" x14ac:dyDescent="0.2">
      <c r="A137" s="270" t="s">
        <v>252</v>
      </c>
      <c r="B137" s="271"/>
      <c r="C137" s="240">
        <f>C133+C134+C135+C136</f>
        <v>500</v>
      </c>
      <c r="D137" s="241"/>
      <c r="E137" s="241"/>
      <c r="F137" s="241"/>
      <c r="G137" s="241"/>
    </row>
    <row r="138" spans="1:7" x14ac:dyDescent="0.2">
      <c r="A138" s="269" t="s">
        <v>282</v>
      </c>
      <c r="B138" s="269"/>
      <c r="C138" s="269"/>
      <c r="D138" s="232">
        <f>D139</f>
        <v>20.49</v>
      </c>
      <c r="E138" s="232">
        <f>E139</f>
        <v>22.5</v>
      </c>
      <c r="F138" s="232">
        <f>F139</f>
        <v>85.52000000000001</v>
      </c>
      <c r="G138" s="232">
        <f>G139</f>
        <v>644.4</v>
      </c>
    </row>
    <row r="139" spans="1:7" x14ac:dyDescent="0.2">
      <c r="A139" s="233"/>
      <c r="B139" s="234" t="s">
        <v>66</v>
      </c>
      <c r="C139" s="233"/>
      <c r="D139" s="232">
        <f>D140+D141+D142+D143+D144</f>
        <v>20.49</v>
      </c>
      <c r="E139" s="232">
        <f t="shared" ref="E139:G139" si="12">E140+E141+E142+E143+E144</f>
        <v>22.5</v>
      </c>
      <c r="F139" s="232">
        <f t="shared" si="12"/>
        <v>85.52000000000001</v>
      </c>
      <c r="G139" s="232">
        <f t="shared" si="12"/>
        <v>644.4</v>
      </c>
    </row>
    <row r="140" spans="1:7" x14ac:dyDescent="0.2">
      <c r="A140" s="235" t="s">
        <v>277</v>
      </c>
      <c r="B140" s="236" t="s">
        <v>276</v>
      </c>
      <c r="C140" s="235">
        <v>90</v>
      </c>
      <c r="D140" s="237">
        <v>10.18</v>
      </c>
      <c r="E140" s="237">
        <v>9.74</v>
      </c>
      <c r="F140" s="237">
        <v>10.17</v>
      </c>
      <c r="G140" s="237">
        <v>169.06</v>
      </c>
    </row>
    <row r="141" spans="1:7" x14ac:dyDescent="0.2">
      <c r="A141" s="235" t="s">
        <v>132</v>
      </c>
      <c r="B141" s="236" t="s">
        <v>133</v>
      </c>
      <c r="C141" s="235">
        <v>150</v>
      </c>
      <c r="D141" s="237">
        <v>5.77</v>
      </c>
      <c r="E141" s="237">
        <v>10.08</v>
      </c>
      <c r="F141" s="237">
        <v>30.69</v>
      </c>
      <c r="G141" s="237">
        <v>244</v>
      </c>
    </row>
    <row r="142" spans="1:7" x14ac:dyDescent="0.2">
      <c r="A142" s="238"/>
      <c r="B142" s="236" t="s">
        <v>62</v>
      </c>
      <c r="C142" s="235">
        <v>20</v>
      </c>
      <c r="D142" s="237">
        <v>1.5</v>
      </c>
      <c r="E142" s="237">
        <v>2.36</v>
      </c>
      <c r="F142" s="237">
        <v>14.98</v>
      </c>
      <c r="G142" s="237">
        <v>91</v>
      </c>
    </row>
    <row r="143" spans="1:7" x14ac:dyDescent="0.2">
      <c r="A143" s="238" t="s">
        <v>182</v>
      </c>
      <c r="B143" s="236" t="s">
        <v>10</v>
      </c>
      <c r="C143" s="239">
        <v>200</v>
      </c>
      <c r="D143" s="237">
        <v>0</v>
      </c>
      <c r="E143" s="237">
        <v>0</v>
      </c>
      <c r="F143" s="237">
        <v>10</v>
      </c>
      <c r="G143" s="237">
        <v>42</v>
      </c>
    </row>
    <row r="144" spans="1:7" x14ac:dyDescent="0.2">
      <c r="A144" s="238"/>
      <c r="B144" s="243" t="s">
        <v>11</v>
      </c>
      <c r="C144" s="238">
        <v>40</v>
      </c>
      <c r="D144" s="241">
        <v>3.04</v>
      </c>
      <c r="E144" s="241">
        <v>0.32</v>
      </c>
      <c r="F144" s="241">
        <v>19.68</v>
      </c>
      <c r="G144" s="241">
        <v>98.34</v>
      </c>
    </row>
    <row r="145" spans="1:7" x14ac:dyDescent="0.2">
      <c r="A145" s="270" t="s">
        <v>252</v>
      </c>
      <c r="B145" s="271"/>
      <c r="C145" s="245">
        <f>SUM(C140:C144)</f>
        <v>500</v>
      </c>
      <c r="D145" s="237"/>
      <c r="E145" s="237"/>
      <c r="F145" s="237"/>
      <c r="G145" s="237"/>
    </row>
    <row r="146" spans="1:7" x14ac:dyDescent="0.2">
      <c r="A146" s="269" t="s">
        <v>285</v>
      </c>
      <c r="B146" s="269"/>
      <c r="C146" s="269"/>
      <c r="D146" s="232">
        <f>D147</f>
        <v>20.91</v>
      </c>
      <c r="E146" s="232">
        <f>E147</f>
        <v>11.200000000000001</v>
      </c>
      <c r="F146" s="232">
        <f>F147</f>
        <v>74.34</v>
      </c>
      <c r="G146" s="232">
        <f>G147</f>
        <v>497.32</v>
      </c>
    </row>
    <row r="147" spans="1:7" x14ac:dyDescent="0.2">
      <c r="A147" s="233"/>
      <c r="B147" s="234" t="s">
        <v>66</v>
      </c>
      <c r="C147" s="233"/>
      <c r="D147" s="232">
        <f>D148+D149+D150+D151+D152</f>
        <v>20.91</v>
      </c>
      <c r="E147" s="232">
        <f t="shared" ref="E147:G147" si="13">E148+E149+E150+E151+E152</f>
        <v>11.200000000000001</v>
      </c>
      <c r="F147" s="232">
        <f t="shared" si="13"/>
        <v>74.34</v>
      </c>
      <c r="G147" s="232">
        <f t="shared" si="13"/>
        <v>497.32</v>
      </c>
    </row>
    <row r="148" spans="1:7" x14ac:dyDescent="0.2">
      <c r="A148" s="235" t="s">
        <v>284</v>
      </c>
      <c r="B148" s="236" t="s">
        <v>283</v>
      </c>
      <c r="C148" s="235">
        <v>90</v>
      </c>
      <c r="D148" s="237">
        <v>14.55</v>
      </c>
      <c r="E148" s="237">
        <v>5.24</v>
      </c>
      <c r="F148" s="237">
        <v>8.2799999999999994</v>
      </c>
      <c r="G148" s="237">
        <v>138.54</v>
      </c>
    </row>
    <row r="149" spans="1:7" x14ac:dyDescent="0.2">
      <c r="A149" s="235" t="s">
        <v>189</v>
      </c>
      <c r="B149" s="236" t="s">
        <v>159</v>
      </c>
      <c r="C149" s="235">
        <v>150</v>
      </c>
      <c r="D149" s="237">
        <v>3.81</v>
      </c>
      <c r="E149" s="237">
        <v>2.72</v>
      </c>
      <c r="F149" s="237">
        <v>40</v>
      </c>
      <c r="G149" s="237">
        <v>208.48</v>
      </c>
    </row>
    <row r="150" spans="1:7" x14ac:dyDescent="0.2">
      <c r="A150" s="239" t="s">
        <v>191</v>
      </c>
      <c r="B150" s="236" t="s">
        <v>171</v>
      </c>
      <c r="C150" s="235">
        <v>30</v>
      </c>
      <c r="D150" s="237">
        <v>0.27</v>
      </c>
      <c r="E150" s="237">
        <v>3</v>
      </c>
      <c r="F150" s="237">
        <v>1.3</v>
      </c>
      <c r="G150" s="237">
        <v>34.5</v>
      </c>
    </row>
    <row r="151" spans="1:7" x14ac:dyDescent="0.2">
      <c r="A151" s="238" t="s">
        <v>182</v>
      </c>
      <c r="B151" s="236" t="s">
        <v>10</v>
      </c>
      <c r="C151" s="239">
        <v>200</v>
      </c>
      <c r="D151" s="237">
        <v>0</v>
      </c>
      <c r="E151" s="237">
        <v>0</v>
      </c>
      <c r="F151" s="237">
        <v>10</v>
      </c>
      <c r="G151" s="237">
        <v>42</v>
      </c>
    </row>
    <row r="152" spans="1:7" x14ac:dyDescent="0.2">
      <c r="A152" s="238"/>
      <c r="B152" s="243" t="s">
        <v>11</v>
      </c>
      <c r="C152" s="238">
        <v>30</v>
      </c>
      <c r="D152" s="241">
        <v>2.2799999999999998</v>
      </c>
      <c r="E152" s="241">
        <v>0.24</v>
      </c>
      <c r="F152" s="241">
        <v>14.76</v>
      </c>
      <c r="G152" s="241">
        <v>73.8</v>
      </c>
    </row>
    <row r="153" spans="1:7" x14ac:dyDescent="0.2">
      <c r="A153" s="270" t="s">
        <v>252</v>
      </c>
      <c r="B153" s="271"/>
      <c r="C153" s="233">
        <f>SUM(C148:C152)</f>
        <v>500</v>
      </c>
      <c r="D153" s="237"/>
      <c r="E153" s="237"/>
      <c r="F153" s="237"/>
      <c r="G153" s="237"/>
    </row>
    <row r="154" spans="1:7" x14ac:dyDescent="0.2">
      <c r="A154" s="269" t="s">
        <v>286</v>
      </c>
      <c r="B154" s="269"/>
      <c r="C154" s="269"/>
      <c r="D154" s="232">
        <f>D155</f>
        <v>28.39</v>
      </c>
      <c r="E154" s="232">
        <f>E155</f>
        <v>9.39</v>
      </c>
      <c r="F154" s="232">
        <f>F155</f>
        <v>80.09</v>
      </c>
      <c r="G154" s="232">
        <f>G155</f>
        <v>527.21</v>
      </c>
    </row>
    <row r="155" spans="1:7" x14ac:dyDescent="0.2">
      <c r="A155" s="233"/>
      <c r="B155" s="234" t="s">
        <v>66</v>
      </c>
      <c r="C155" s="233"/>
      <c r="D155" s="232">
        <f>D156+D157+D158+D159</f>
        <v>28.39</v>
      </c>
      <c r="E155" s="232">
        <f t="shared" ref="E155:G155" si="14">E156+E157+E158+E159</f>
        <v>9.39</v>
      </c>
      <c r="F155" s="232">
        <f t="shared" si="14"/>
        <v>80.09</v>
      </c>
      <c r="G155" s="232">
        <f t="shared" si="14"/>
        <v>527.21</v>
      </c>
    </row>
    <row r="156" spans="1:7" x14ac:dyDescent="0.2">
      <c r="A156" s="238"/>
      <c r="B156" s="236" t="s">
        <v>41</v>
      </c>
      <c r="C156" s="235">
        <v>110</v>
      </c>
      <c r="D156" s="237">
        <v>0.44</v>
      </c>
      <c r="E156" s="237">
        <v>0</v>
      </c>
      <c r="F156" s="237">
        <v>10.78</v>
      </c>
      <c r="G156" s="237">
        <v>47.12</v>
      </c>
    </row>
    <row r="157" spans="1:7" ht="25.5" x14ac:dyDescent="0.2">
      <c r="A157" s="235" t="s">
        <v>288</v>
      </c>
      <c r="B157" s="236" t="s">
        <v>287</v>
      </c>
      <c r="C157" s="235">
        <v>150</v>
      </c>
      <c r="D157" s="237">
        <v>24.91</v>
      </c>
      <c r="E157" s="237">
        <v>9.07</v>
      </c>
      <c r="F157" s="237">
        <v>39.630000000000003</v>
      </c>
      <c r="G157" s="237">
        <v>339.75</v>
      </c>
    </row>
    <row r="158" spans="1:7" x14ac:dyDescent="0.2">
      <c r="A158" s="238" t="s">
        <v>182</v>
      </c>
      <c r="B158" s="236" t="s">
        <v>10</v>
      </c>
      <c r="C158" s="239">
        <v>200</v>
      </c>
      <c r="D158" s="237">
        <v>0</v>
      </c>
      <c r="E158" s="237">
        <v>0</v>
      </c>
      <c r="F158" s="237">
        <v>10</v>
      </c>
      <c r="G158" s="237">
        <v>42</v>
      </c>
    </row>
    <row r="159" spans="1:7" x14ac:dyDescent="0.2">
      <c r="A159" s="238"/>
      <c r="B159" s="243" t="s">
        <v>11</v>
      </c>
      <c r="C159" s="238">
        <v>40</v>
      </c>
      <c r="D159" s="241">
        <v>3.04</v>
      </c>
      <c r="E159" s="241">
        <v>0.32</v>
      </c>
      <c r="F159" s="241">
        <v>19.68</v>
      </c>
      <c r="G159" s="241">
        <v>98.34</v>
      </c>
    </row>
    <row r="160" spans="1:7" x14ac:dyDescent="0.2">
      <c r="A160" s="270" t="s">
        <v>252</v>
      </c>
      <c r="B160" s="271"/>
      <c r="C160" s="245">
        <f>SUM(C156:C159)</f>
        <v>500</v>
      </c>
      <c r="D160" s="235"/>
      <c r="E160" s="235"/>
      <c r="F160" s="235"/>
      <c r="G160" s="235"/>
    </row>
  </sheetData>
  <mergeCells count="47">
    <mergeCell ref="A145:B145"/>
    <mergeCell ref="A146:C146"/>
    <mergeCell ref="A153:B153"/>
    <mergeCell ref="A154:C154"/>
    <mergeCell ref="A160:B160"/>
    <mergeCell ref="A124:C124"/>
    <mergeCell ref="A130:B130"/>
    <mergeCell ref="A131:C131"/>
    <mergeCell ref="A137:B137"/>
    <mergeCell ref="A138:C138"/>
    <mergeCell ref="A109:B109"/>
    <mergeCell ref="A110:C110"/>
    <mergeCell ref="A116:B116"/>
    <mergeCell ref="A117:C117"/>
    <mergeCell ref="A123:B123"/>
    <mergeCell ref="A85:C85"/>
    <mergeCell ref="A93:B93"/>
    <mergeCell ref="A94:C94"/>
    <mergeCell ref="A101:B101"/>
    <mergeCell ref="A102:C102"/>
    <mergeCell ref="A1:G2"/>
    <mergeCell ref="A5:A6"/>
    <mergeCell ref="B5:B6"/>
    <mergeCell ref="C5:C6"/>
    <mergeCell ref="A54:C54"/>
    <mergeCell ref="A19:C19"/>
    <mergeCell ref="A26:C26"/>
    <mergeCell ref="A33:C33"/>
    <mergeCell ref="A40:C40"/>
    <mergeCell ref="A47:C47"/>
    <mergeCell ref="D5:F5"/>
    <mergeCell ref="G5:G6"/>
    <mergeCell ref="A8:C8"/>
    <mergeCell ref="A84:B84"/>
    <mergeCell ref="A3:G4"/>
    <mergeCell ref="A53:B53"/>
    <mergeCell ref="A61:B61"/>
    <mergeCell ref="A68:B68"/>
    <mergeCell ref="A76:B76"/>
    <mergeCell ref="A18:B18"/>
    <mergeCell ref="A32:B32"/>
    <mergeCell ref="A25:B25"/>
    <mergeCell ref="A39:B39"/>
    <mergeCell ref="A46:B46"/>
    <mergeCell ref="A62:C62"/>
    <mergeCell ref="A69:C69"/>
    <mergeCell ref="A77:C77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2"/>
  <sheetViews>
    <sheetView tabSelected="1" topLeftCell="A35" zoomScale="106" zoomScaleNormal="106" workbookViewId="0">
      <selection activeCell="B71" sqref="B71"/>
    </sheetView>
  </sheetViews>
  <sheetFormatPr defaultRowHeight="12.75" x14ac:dyDescent="0.2"/>
  <cols>
    <col min="1" max="1" width="11" style="197" customWidth="1"/>
    <col min="2" max="2" width="32.85546875" style="212" customWidth="1"/>
    <col min="3" max="3" width="10.140625" style="197" customWidth="1"/>
    <col min="4" max="4" width="7.28515625" style="197" customWidth="1"/>
    <col min="5" max="5" width="7.7109375" style="197" customWidth="1"/>
    <col min="6" max="6" width="8.42578125" style="197" customWidth="1"/>
    <col min="7" max="7" width="10.7109375" style="197" customWidth="1"/>
    <col min="8" max="16384" width="9.140625" style="185"/>
  </cols>
  <sheetData>
    <row r="1" spans="1:7" ht="12.75" customHeight="1" x14ac:dyDescent="0.2">
      <c r="A1" s="267" t="s">
        <v>254</v>
      </c>
      <c r="B1" s="267"/>
      <c r="C1" s="267"/>
      <c r="D1" s="267"/>
      <c r="E1" s="267"/>
      <c r="F1" s="267"/>
      <c r="G1" s="267"/>
    </row>
    <row r="2" spans="1:7" ht="20.25" customHeight="1" x14ac:dyDescent="0.2">
      <c r="A2" s="267"/>
      <c r="B2" s="267"/>
      <c r="C2" s="267"/>
      <c r="D2" s="267"/>
      <c r="E2" s="267"/>
      <c r="F2" s="267"/>
      <c r="G2" s="267"/>
    </row>
    <row r="3" spans="1:7" ht="17.25" customHeight="1" x14ac:dyDescent="0.2">
      <c r="A3" s="264" t="s">
        <v>253</v>
      </c>
      <c r="B3" s="264"/>
      <c r="C3" s="264"/>
      <c r="D3" s="264"/>
      <c r="E3" s="264"/>
      <c r="F3" s="264"/>
      <c r="G3" s="264"/>
    </row>
    <row r="4" spans="1:7" ht="35.25" customHeight="1" x14ac:dyDescent="0.2">
      <c r="A4" s="265"/>
      <c r="B4" s="265"/>
      <c r="C4" s="265"/>
      <c r="D4" s="265"/>
      <c r="E4" s="265"/>
      <c r="F4" s="265"/>
      <c r="G4" s="265"/>
    </row>
    <row r="5" spans="1:7" s="201" customFormat="1" ht="33.75" customHeight="1" x14ac:dyDescent="0.2">
      <c r="A5" s="268" t="s">
        <v>239</v>
      </c>
      <c r="B5" s="268" t="s">
        <v>240</v>
      </c>
      <c r="C5" s="268" t="s">
        <v>241</v>
      </c>
      <c r="D5" s="275" t="s">
        <v>242</v>
      </c>
      <c r="E5" s="276"/>
      <c r="F5" s="277"/>
      <c r="G5" s="278" t="s">
        <v>23</v>
      </c>
    </row>
    <row r="6" spans="1:7" s="201" customFormat="1" ht="34.5" customHeight="1" x14ac:dyDescent="0.2">
      <c r="A6" s="268"/>
      <c r="B6" s="268"/>
      <c r="C6" s="268"/>
      <c r="D6" s="187" t="s">
        <v>17</v>
      </c>
      <c r="E6" s="187" t="s">
        <v>19</v>
      </c>
      <c r="F6" s="187" t="s">
        <v>21</v>
      </c>
      <c r="G6" s="279"/>
    </row>
    <row r="7" spans="1:7" s="201" customFormat="1" x14ac:dyDescent="0.2">
      <c r="A7" s="187" t="s">
        <v>2</v>
      </c>
      <c r="B7" s="210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72" t="s">
        <v>243</v>
      </c>
      <c r="B8" s="273"/>
      <c r="C8" s="274"/>
      <c r="D8" s="186">
        <f>D9</f>
        <v>24.799999999999997</v>
      </c>
      <c r="E8" s="186">
        <f t="shared" ref="E8:F8" si="0">E9</f>
        <v>25.15</v>
      </c>
      <c r="F8" s="186">
        <f t="shared" si="0"/>
        <v>90.78</v>
      </c>
      <c r="G8" s="186">
        <f>G9</f>
        <v>712.05000000000007</v>
      </c>
    </row>
    <row r="9" spans="1:7" x14ac:dyDescent="0.2">
      <c r="A9" s="196"/>
      <c r="B9" s="216" t="s">
        <v>67</v>
      </c>
      <c r="C9" s="222"/>
      <c r="D9" s="217">
        <f>D10+D11+D12+D13+D14</f>
        <v>24.799999999999997</v>
      </c>
      <c r="E9" s="217">
        <f t="shared" ref="E9:F9" si="1">E10+E11+E12+E13+E14</f>
        <v>25.15</v>
      </c>
      <c r="F9" s="217">
        <f t="shared" si="1"/>
        <v>90.78</v>
      </c>
      <c r="G9" s="217">
        <f>G10+G11+G12+G13+G14</f>
        <v>712.05000000000007</v>
      </c>
    </row>
    <row r="10" spans="1:7" x14ac:dyDescent="0.2">
      <c r="A10" s="189" t="s">
        <v>192</v>
      </c>
      <c r="B10" s="183" t="s">
        <v>137</v>
      </c>
      <c r="C10" s="193">
        <v>60</v>
      </c>
      <c r="D10" s="190">
        <v>0.94</v>
      </c>
      <c r="E10" s="190">
        <v>3.06</v>
      </c>
      <c r="F10" s="190">
        <v>5.66</v>
      </c>
      <c r="G10" s="190">
        <v>55.26</v>
      </c>
    </row>
    <row r="11" spans="1:7" ht="18" customHeight="1" x14ac:dyDescent="0.2">
      <c r="A11" s="189" t="s">
        <v>184</v>
      </c>
      <c r="B11" s="183" t="s">
        <v>138</v>
      </c>
      <c r="C11" s="189">
        <v>205</v>
      </c>
      <c r="D11" s="190">
        <v>3.09</v>
      </c>
      <c r="E11" s="190">
        <v>4.6100000000000003</v>
      </c>
      <c r="F11" s="190">
        <v>12.54</v>
      </c>
      <c r="G11" s="190">
        <v>107.36</v>
      </c>
    </row>
    <row r="12" spans="1:7" x14ac:dyDescent="0.2">
      <c r="A12" s="196" t="s">
        <v>188</v>
      </c>
      <c r="B12" s="183" t="s">
        <v>139</v>
      </c>
      <c r="C12" s="189">
        <v>200</v>
      </c>
      <c r="D12" s="190">
        <v>17.73</v>
      </c>
      <c r="E12" s="190">
        <v>17.16</v>
      </c>
      <c r="F12" s="190">
        <v>42.9</v>
      </c>
      <c r="G12" s="190">
        <v>409.09</v>
      </c>
    </row>
    <row r="13" spans="1:7" x14ac:dyDescent="0.2">
      <c r="A13" s="196" t="s">
        <v>182</v>
      </c>
      <c r="B13" s="183" t="s">
        <v>10</v>
      </c>
      <c r="C13" s="189">
        <v>200</v>
      </c>
      <c r="D13" s="190">
        <v>0</v>
      </c>
      <c r="E13" s="190">
        <v>0</v>
      </c>
      <c r="F13" s="190">
        <v>10</v>
      </c>
      <c r="G13" s="190">
        <v>42</v>
      </c>
    </row>
    <row r="14" spans="1:7" x14ac:dyDescent="0.2">
      <c r="A14" s="189"/>
      <c r="B14" s="183" t="s">
        <v>11</v>
      </c>
      <c r="C14" s="189">
        <v>40</v>
      </c>
      <c r="D14" s="190">
        <v>3.04</v>
      </c>
      <c r="E14" s="190">
        <v>0.32</v>
      </c>
      <c r="F14" s="190">
        <v>19.68</v>
      </c>
      <c r="G14" s="190">
        <v>98.34</v>
      </c>
    </row>
    <row r="15" spans="1:7" x14ac:dyDescent="0.2">
      <c r="A15" s="262" t="s">
        <v>252</v>
      </c>
      <c r="B15" s="263"/>
      <c r="C15" s="207">
        <f>SUM(C10:C14)</f>
        <v>705</v>
      </c>
      <c r="D15" s="192"/>
      <c r="E15" s="192"/>
      <c r="F15" s="192"/>
      <c r="G15" s="192"/>
    </row>
    <row r="16" spans="1:7" ht="27.95" customHeight="1" x14ac:dyDescent="0.2">
      <c r="A16" s="272" t="s">
        <v>244</v>
      </c>
      <c r="B16" s="273"/>
      <c r="C16" s="274"/>
      <c r="D16" s="186">
        <f>D18+D19+D20+D21+D22+D23</f>
        <v>18.04</v>
      </c>
      <c r="E16" s="186">
        <f t="shared" ref="E16:F16" si="2">E17</f>
        <v>24.09</v>
      </c>
      <c r="F16" s="186">
        <f t="shared" si="2"/>
        <v>98.11</v>
      </c>
      <c r="G16" s="186">
        <f>G18+G19+G20+G21+G22+G23</f>
        <v>705.24999999999989</v>
      </c>
    </row>
    <row r="17" spans="1:7" x14ac:dyDescent="0.2">
      <c r="A17" s="189"/>
      <c r="B17" s="216" t="s">
        <v>67</v>
      </c>
      <c r="C17" s="210"/>
      <c r="D17" s="186">
        <f>D18+D19+D20+D21+D22+D23</f>
        <v>18.04</v>
      </c>
      <c r="E17" s="186">
        <f>E18+E19+E20+E21+E22+E23</f>
        <v>24.09</v>
      </c>
      <c r="F17" s="186">
        <f>F18+F19+F20+F21+F22+F23</f>
        <v>98.11</v>
      </c>
      <c r="G17" s="186">
        <f>G18+G19+G20+G21+G22+G23</f>
        <v>705.24999999999989</v>
      </c>
    </row>
    <row r="18" spans="1:7" x14ac:dyDescent="0.2">
      <c r="A18" s="189" t="s">
        <v>68</v>
      </c>
      <c r="B18" s="183" t="s">
        <v>69</v>
      </c>
      <c r="C18" s="189">
        <v>60</v>
      </c>
      <c r="D18" s="223">
        <v>0.84</v>
      </c>
      <c r="E18" s="190">
        <v>3.06</v>
      </c>
      <c r="F18" s="190">
        <v>6.83</v>
      </c>
      <c r="G18" s="190">
        <v>59.75</v>
      </c>
    </row>
    <row r="19" spans="1:7" x14ac:dyDescent="0.2">
      <c r="A19" s="189" t="s">
        <v>185</v>
      </c>
      <c r="B19" s="183" t="s">
        <v>174</v>
      </c>
      <c r="C19" s="189">
        <v>200</v>
      </c>
      <c r="D19" s="190">
        <v>2.57</v>
      </c>
      <c r="E19" s="190">
        <v>9.24</v>
      </c>
      <c r="F19" s="190">
        <v>14.04</v>
      </c>
      <c r="G19" s="190">
        <v>152.91999999999999</v>
      </c>
    </row>
    <row r="20" spans="1:7" x14ac:dyDescent="0.2">
      <c r="A20" s="189" t="s">
        <v>226</v>
      </c>
      <c r="B20" s="183" t="s">
        <v>140</v>
      </c>
      <c r="C20" s="193">
        <v>115</v>
      </c>
      <c r="D20" s="190">
        <v>6.32</v>
      </c>
      <c r="E20" s="190">
        <v>8.7899999999999991</v>
      </c>
      <c r="F20" s="190">
        <v>19.37</v>
      </c>
      <c r="G20" s="190">
        <v>187.01</v>
      </c>
    </row>
    <row r="21" spans="1:7" x14ac:dyDescent="0.2">
      <c r="A21" s="189" t="s">
        <v>33</v>
      </c>
      <c r="B21" s="183" t="s">
        <v>12</v>
      </c>
      <c r="C21" s="189">
        <v>150</v>
      </c>
      <c r="D21" s="190">
        <v>5.64</v>
      </c>
      <c r="E21" s="190">
        <v>2.84</v>
      </c>
      <c r="F21" s="190">
        <v>36</v>
      </c>
      <c r="G21" s="190">
        <v>201</v>
      </c>
    </row>
    <row r="22" spans="1:7" x14ac:dyDescent="0.2">
      <c r="A22" s="213" t="s">
        <v>42</v>
      </c>
      <c r="B22" s="214" t="s">
        <v>223</v>
      </c>
      <c r="C22" s="189">
        <v>200</v>
      </c>
      <c r="D22" s="190">
        <v>1.1499999999999999</v>
      </c>
      <c r="E22" s="190"/>
      <c r="F22" s="190">
        <v>12.03</v>
      </c>
      <c r="G22" s="190">
        <v>55.4</v>
      </c>
    </row>
    <row r="23" spans="1:7" x14ac:dyDescent="0.2">
      <c r="A23" s="189"/>
      <c r="B23" s="183" t="s">
        <v>11</v>
      </c>
      <c r="C23" s="189">
        <v>20</v>
      </c>
      <c r="D23" s="190">
        <v>1.52</v>
      </c>
      <c r="E23" s="190">
        <v>0.16</v>
      </c>
      <c r="F23" s="190">
        <v>9.84</v>
      </c>
      <c r="G23" s="190">
        <v>49.17</v>
      </c>
    </row>
    <row r="24" spans="1:7" x14ac:dyDescent="0.2">
      <c r="A24" s="262" t="s">
        <v>252</v>
      </c>
      <c r="B24" s="263"/>
      <c r="C24" s="187">
        <f>SUM(C18:C23)</f>
        <v>745</v>
      </c>
      <c r="D24" s="190"/>
      <c r="E24" s="190"/>
      <c r="F24" s="190"/>
      <c r="G24" s="190"/>
    </row>
    <row r="25" spans="1:7" ht="27.95" customHeight="1" x14ac:dyDescent="0.2">
      <c r="A25" s="272" t="s">
        <v>245</v>
      </c>
      <c r="B25" s="273"/>
      <c r="C25" s="274"/>
      <c r="D25" s="186">
        <f>D26</f>
        <v>25.46</v>
      </c>
      <c r="E25" s="186">
        <f>E26</f>
        <v>24.57</v>
      </c>
      <c r="F25" s="186">
        <f>F26</f>
        <v>96.990000000000009</v>
      </c>
      <c r="G25" s="186">
        <f>G26</f>
        <v>736.17</v>
      </c>
    </row>
    <row r="26" spans="1:7" x14ac:dyDescent="0.2">
      <c r="A26" s="189"/>
      <c r="B26" s="216" t="s">
        <v>67</v>
      </c>
      <c r="C26" s="187"/>
      <c r="D26" s="186">
        <f>D27+D28+D29+D30+D31+D32</f>
        <v>25.46</v>
      </c>
      <c r="E26" s="186">
        <f t="shared" ref="E26:F26" si="3">E27+E28+E29+E30+E31+E32</f>
        <v>24.57</v>
      </c>
      <c r="F26" s="186">
        <f t="shared" si="3"/>
        <v>96.990000000000009</v>
      </c>
      <c r="G26" s="186">
        <f>G27+G28+G29+G30+G31+G32</f>
        <v>736.17</v>
      </c>
    </row>
    <row r="27" spans="1:7" x14ac:dyDescent="0.2">
      <c r="A27" s="189" t="s">
        <v>82</v>
      </c>
      <c r="B27" s="183" t="s">
        <v>83</v>
      </c>
      <c r="C27" s="193">
        <v>60</v>
      </c>
      <c r="D27" s="190">
        <v>1.21</v>
      </c>
      <c r="E27" s="190">
        <v>6.2</v>
      </c>
      <c r="F27" s="190">
        <v>12.33</v>
      </c>
      <c r="G27" s="190">
        <v>113</v>
      </c>
    </row>
    <row r="28" spans="1:7" ht="25.5" x14ac:dyDescent="0.2">
      <c r="A28" s="189" t="s">
        <v>117</v>
      </c>
      <c r="B28" s="183" t="s">
        <v>175</v>
      </c>
      <c r="C28" s="189">
        <v>205</v>
      </c>
      <c r="D28" s="190">
        <v>2.64</v>
      </c>
      <c r="E28" s="190">
        <v>3.04</v>
      </c>
      <c r="F28" s="190">
        <v>11</v>
      </c>
      <c r="G28" s="190">
        <v>84.65</v>
      </c>
    </row>
    <row r="29" spans="1:7" x14ac:dyDescent="0.2">
      <c r="A29" s="189" t="s">
        <v>131</v>
      </c>
      <c r="B29" s="183" t="s">
        <v>146</v>
      </c>
      <c r="C29" s="189">
        <v>90</v>
      </c>
      <c r="D29" s="190">
        <v>11.84</v>
      </c>
      <c r="E29" s="190">
        <v>10.06</v>
      </c>
      <c r="F29" s="190">
        <v>16.03</v>
      </c>
      <c r="G29" s="190">
        <v>208</v>
      </c>
    </row>
    <row r="30" spans="1:7" x14ac:dyDescent="0.2">
      <c r="A30" s="196" t="s">
        <v>38</v>
      </c>
      <c r="B30" s="183" t="s">
        <v>36</v>
      </c>
      <c r="C30" s="189">
        <v>150</v>
      </c>
      <c r="D30" s="190">
        <v>8.77</v>
      </c>
      <c r="E30" s="190">
        <v>5.19</v>
      </c>
      <c r="F30" s="190">
        <v>39.630000000000003</v>
      </c>
      <c r="G30" s="190">
        <v>250</v>
      </c>
    </row>
    <row r="31" spans="1:7" x14ac:dyDescent="0.2">
      <c r="A31" s="196" t="s">
        <v>182</v>
      </c>
      <c r="B31" s="183" t="s">
        <v>10</v>
      </c>
      <c r="C31" s="189">
        <v>200</v>
      </c>
      <c r="D31" s="190">
        <v>0</v>
      </c>
      <c r="E31" s="190">
        <v>0</v>
      </c>
      <c r="F31" s="190">
        <v>10</v>
      </c>
      <c r="G31" s="190">
        <v>42</v>
      </c>
    </row>
    <row r="32" spans="1:7" x14ac:dyDescent="0.2">
      <c r="A32" s="189"/>
      <c r="B32" s="183" t="s">
        <v>37</v>
      </c>
      <c r="C32" s="189">
        <v>20</v>
      </c>
      <c r="D32" s="190">
        <v>1</v>
      </c>
      <c r="E32" s="190">
        <v>0.08</v>
      </c>
      <c r="F32" s="190">
        <v>8</v>
      </c>
      <c r="G32" s="190">
        <v>38.520000000000003</v>
      </c>
    </row>
    <row r="33" spans="1:7" x14ac:dyDescent="0.2">
      <c r="A33" s="262" t="s">
        <v>252</v>
      </c>
      <c r="B33" s="263"/>
      <c r="C33" s="210">
        <f>SUM(C27:C32)</f>
        <v>725</v>
      </c>
      <c r="D33" s="190"/>
      <c r="E33" s="190"/>
      <c r="F33" s="190"/>
      <c r="G33" s="190"/>
    </row>
    <row r="34" spans="1:7" ht="27.95" customHeight="1" x14ac:dyDescent="0.2">
      <c r="A34" s="272" t="s">
        <v>246</v>
      </c>
      <c r="B34" s="273"/>
      <c r="C34" s="274"/>
      <c r="D34" s="186">
        <f>D35</f>
        <v>24.78</v>
      </c>
      <c r="E34" s="186">
        <f>E35</f>
        <v>32.83</v>
      </c>
      <c r="F34" s="186">
        <f>F35</f>
        <v>86.86</v>
      </c>
      <c r="G34" s="186">
        <f>G35</f>
        <v>764.78800000000001</v>
      </c>
    </row>
    <row r="35" spans="1:7" ht="15" customHeight="1" x14ac:dyDescent="0.2">
      <c r="A35" s="189"/>
      <c r="B35" s="216" t="s">
        <v>67</v>
      </c>
      <c r="C35" s="187"/>
      <c r="D35" s="186">
        <f>D36+D37+D38+D39+D40</f>
        <v>24.78</v>
      </c>
      <c r="E35" s="186">
        <f>E36+E37+E38+E39+E40</f>
        <v>32.83</v>
      </c>
      <c r="F35" s="186">
        <f>F36+F37+F38+F39+F40</f>
        <v>86.86</v>
      </c>
      <c r="G35" s="186">
        <f>G36+G37+G38+G39+G40</f>
        <v>764.78800000000001</v>
      </c>
    </row>
    <row r="36" spans="1:7" ht="15" customHeight="1" x14ac:dyDescent="0.2">
      <c r="A36" s="189" t="s">
        <v>190</v>
      </c>
      <c r="B36" s="183" t="s">
        <v>152</v>
      </c>
      <c r="C36" s="193">
        <v>60</v>
      </c>
      <c r="D36" s="190">
        <v>0.88</v>
      </c>
      <c r="E36" s="190">
        <v>3.11</v>
      </c>
      <c r="F36" s="190">
        <v>5.64</v>
      </c>
      <c r="G36" s="190">
        <v>55.8</v>
      </c>
    </row>
    <row r="37" spans="1:7" ht="17.25" customHeight="1" x14ac:dyDescent="0.2">
      <c r="A37" s="189" t="s">
        <v>186</v>
      </c>
      <c r="B37" s="183" t="s">
        <v>173</v>
      </c>
      <c r="C37" s="189">
        <v>205</v>
      </c>
      <c r="D37" s="190">
        <v>3.51</v>
      </c>
      <c r="E37" s="190">
        <v>12.28</v>
      </c>
      <c r="F37" s="190">
        <v>11.17</v>
      </c>
      <c r="G37" s="190">
        <v>172.17599999999999</v>
      </c>
    </row>
    <row r="38" spans="1:7" ht="15" customHeight="1" x14ac:dyDescent="0.2">
      <c r="A38" s="196" t="s">
        <v>188</v>
      </c>
      <c r="B38" s="183" t="s">
        <v>139</v>
      </c>
      <c r="C38" s="189">
        <v>200</v>
      </c>
      <c r="D38" s="190">
        <v>17.73</v>
      </c>
      <c r="E38" s="190">
        <v>17.16</v>
      </c>
      <c r="F38" s="190">
        <v>42.9</v>
      </c>
      <c r="G38" s="190">
        <v>409.09</v>
      </c>
    </row>
    <row r="39" spans="1:7" ht="15.75" customHeight="1" x14ac:dyDescent="0.2">
      <c r="A39" s="196" t="s">
        <v>182</v>
      </c>
      <c r="B39" s="183" t="s">
        <v>10</v>
      </c>
      <c r="C39" s="189">
        <v>200</v>
      </c>
      <c r="D39" s="190">
        <v>0</v>
      </c>
      <c r="E39" s="190">
        <v>0</v>
      </c>
      <c r="F39" s="190">
        <v>10</v>
      </c>
      <c r="G39" s="190">
        <v>42</v>
      </c>
    </row>
    <row r="40" spans="1:7" ht="15" customHeight="1" x14ac:dyDescent="0.2">
      <c r="A40" s="189"/>
      <c r="B40" s="183" t="s">
        <v>11</v>
      </c>
      <c r="C40" s="189">
        <v>35</v>
      </c>
      <c r="D40" s="190">
        <f>1.52*1.75</f>
        <v>2.66</v>
      </c>
      <c r="E40" s="190">
        <f>0.16*1.75</f>
        <v>0.28000000000000003</v>
      </c>
      <c r="F40" s="190">
        <f>9.8*1.75</f>
        <v>17.150000000000002</v>
      </c>
      <c r="G40" s="190">
        <v>85.721999999999994</v>
      </c>
    </row>
    <row r="41" spans="1:7" ht="15" customHeight="1" x14ac:dyDescent="0.2">
      <c r="A41" s="262" t="s">
        <v>252</v>
      </c>
      <c r="B41" s="263"/>
      <c r="C41" s="187">
        <f>SUM(C36:C40)</f>
        <v>700</v>
      </c>
      <c r="D41" s="190"/>
      <c r="E41" s="190"/>
      <c r="F41" s="190"/>
      <c r="G41" s="190"/>
    </row>
    <row r="42" spans="1:7" ht="27.95" customHeight="1" x14ac:dyDescent="0.2">
      <c r="A42" s="272" t="s">
        <v>247</v>
      </c>
      <c r="B42" s="273"/>
      <c r="C42" s="274"/>
      <c r="D42" s="186">
        <f>D43</f>
        <v>26.82</v>
      </c>
      <c r="E42" s="186">
        <f>E43</f>
        <v>25.119999999999997</v>
      </c>
      <c r="F42" s="186">
        <f>F43</f>
        <v>91.81</v>
      </c>
      <c r="G42" s="186">
        <f>G43</f>
        <v>724.89</v>
      </c>
    </row>
    <row r="43" spans="1:7" x14ac:dyDescent="0.2">
      <c r="A43" s="189"/>
      <c r="B43" s="216" t="s">
        <v>67</v>
      </c>
      <c r="C43" s="187"/>
      <c r="D43" s="186">
        <f>D44+D45+D46+D47+D48+D49</f>
        <v>26.82</v>
      </c>
      <c r="E43" s="186">
        <f>E44+E45+E46+E47+E48+E49</f>
        <v>25.119999999999997</v>
      </c>
      <c r="F43" s="186">
        <f>F44+F45+F46+F47+F48+F49</f>
        <v>91.81</v>
      </c>
      <c r="G43" s="186">
        <f>G44+G45+G46+G47+G48+G49</f>
        <v>724.89</v>
      </c>
    </row>
    <row r="44" spans="1:7" ht="18.75" customHeight="1" x14ac:dyDescent="0.2">
      <c r="A44" s="206" t="s">
        <v>193</v>
      </c>
      <c r="B44" s="183" t="s">
        <v>148</v>
      </c>
      <c r="C44" s="189">
        <v>60</v>
      </c>
      <c r="D44" s="190">
        <v>0.74</v>
      </c>
      <c r="E44" s="190">
        <v>0.06</v>
      </c>
      <c r="F44" s="190">
        <v>16.920000000000002</v>
      </c>
      <c r="G44" s="190">
        <v>74.709999999999994</v>
      </c>
    </row>
    <row r="45" spans="1:7" x14ac:dyDescent="0.2">
      <c r="A45" s="189" t="s">
        <v>184</v>
      </c>
      <c r="B45" s="183" t="s">
        <v>138</v>
      </c>
      <c r="C45" s="189">
        <v>205</v>
      </c>
      <c r="D45" s="190">
        <v>3.09</v>
      </c>
      <c r="E45" s="190">
        <v>4.6100000000000003</v>
      </c>
      <c r="F45" s="190">
        <v>12.54</v>
      </c>
      <c r="G45" s="190">
        <v>107.36</v>
      </c>
    </row>
    <row r="46" spans="1:7" x14ac:dyDescent="0.2">
      <c r="A46" s="189" t="s">
        <v>227</v>
      </c>
      <c r="B46" s="183" t="s">
        <v>154</v>
      </c>
      <c r="C46" s="189">
        <v>110</v>
      </c>
      <c r="D46" s="190">
        <v>5.73</v>
      </c>
      <c r="E46" s="190">
        <v>16.34</v>
      </c>
      <c r="F46" s="190">
        <v>10.38</v>
      </c>
      <c r="G46" s="190">
        <v>215</v>
      </c>
    </row>
    <row r="47" spans="1:7" x14ac:dyDescent="0.2">
      <c r="A47" s="196" t="s">
        <v>134</v>
      </c>
      <c r="B47" s="183" t="s">
        <v>155</v>
      </c>
      <c r="C47" s="189">
        <v>150</v>
      </c>
      <c r="D47" s="190">
        <v>16.260000000000002</v>
      </c>
      <c r="E47" s="190">
        <v>4.03</v>
      </c>
      <c r="F47" s="190">
        <v>33.97</v>
      </c>
      <c r="G47" s="190">
        <v>247.3</v>
      </c>
    </row>
    <row r="48" spans="1:7" ht="15" customHeight="1" x14ac:dyDescent="0.2">
      <c r="A48" s="196" t="s">
        <v>182</v>
      </c>
      <c r="B48" s="183" t="s">
        <v>10</v>
      </c>
      <c r="C48" s="206">
        <v>200</v>
      </c>
      <c r="D48" s="190">
        <v>0</v>
      </c>
      <c r="E48" s="190">
        <v>0</v>
      </c>
      <c r="F48" s="190">
        <v>10</v>
      </c>
      <c r="G48" s="190">
        <v>42</v>
      </c>
    </row>
    <row r="49" spans="1:24" x14ac:dyDescent="0.2">
      <c r="A49" s="189"/>
      <c r="B49" s="219" t="s">
        <v>37</v>
      </c>
      <c r="C49" s="189">
        <v>20</v>
      </c>
      <c r="D49" s="190">
        <v>1</v>
      </c>
      <c r="E49" s="190">
        <v>0.08</v>
      </c>
      <c r="F49" s="190">
        <v>8</v>
      </c>
      <c r="G49" s="190">
        <v>38.520000000000003</v>
      </c>
    </row>
    <row r="50" spans="1:24" x14ac:dyDescent="0.2">
      <c r="A50" s="262" t="s">
        <v>252</v>
      </c>
      <c r="B50" s="263"/>
      <c r="C50" s="208">
        <f>SUM(C44:C49)</f>
        <v>745</v>
      </c>
      <c r="D50" s="190"/>
      <c r="E50" s="190"/>
      <c r="F50" s="190"/>
      <c r="G50" s="190"/>
    </row>
    <row r="51" spans="1:24" ht="27.95" customHeight="1" x14ac:dyDescent="0.2">
      <c r="A51" s="272" t="s">
        <v>248</v>
      </c>
      <c r="B51" s="273"/>
      <c r="C51" s="274"/>
      <c r="D51" s="186">
        <f>D52</f>
        <v>23.919999999999998</v>
      </c>
      <c r="E51" s="186">
        <f>E52</f>
        <v>35.51</v>
      </c>
      <c r="F51" s="186">
        <f>F52</f>
        <v>88.43</v>
      </c>
      <c r="G51" s="186">
        <f>G52</f>
        <v>792.5</v>
      </c>
    </row>
    <row r="52" spans="1:24" x14ac:dyDescent="0.2">
      <c r="A52" s="196"/>
      <c r="B52" s="216" t="s">
        <v>67</v>
      </c>
      <c r="C52" s="207"/>
      <c r="D52" s="217">
        <f>D53+D54+D55+D56+D57</f>
        <v>23.919999999999998</v>
      </c>
      <c r="E52" s="217">
        <f>E53+E54+E55+E56+E57</f>
        <v>35.51</v>
      </c>
      <c r="F52" s="217">
        <f>F53+F54+F55+F56+F57</f>
        <v>88.43</v>
      </c>
      <c r="G52" s="217">
        <f>G53+G54+G55+G56+G57</f>
        <v>792.5</v>
      </c>
    </row>
    <row r="53" spans="1:24" ht="16.5" customHeight="1" x14ac:dyDescent="0.2">
      <c r="A53" s="189" t="s">
        <v>82</v>
      </c>
      <c r="B53" s="183" t="s">
        <v>83</v>
      </c>
      <c r="C53" s="193">
        <v>60</v>
      </c>
      <c r="D53" s="190">
        <v>1.21</v>
      </c>
      <c r="E53" s="190">
        <v>6.2</v>
      </c>
      <c r="F53" s="190">
        <v>12.33</v>
      </c>
      <c r="G53" s="190">
        <v>113</v>
      </c>
      <c r="H53" s="212"/>
      <c r="I53" s="197"/>
      <c r="J53" s="197"/>
      <c r="K53" s="197"/>
      <c r="L53" s="197"/>
      <c r="M53" s="197"/>
      <c r="N53" s="194"/>
      <c r="O53" s="194"/>
      <c r="P53" s="194"/>
      <c r="Q53" s="194"/>
      <c r="R53" s="194"/>
      <c r="S53" s="194"/>
      <c r="T53" s="194"/>
    </row>
    <row r="54" spans="1:24" ht="24.75" customHeight="1" x14ac:dyDescent="0.2">
      <c r="A54" s="189" t="s">
        <v>124</v>
      </c>
      <c r="B54" s="183" t="s">
        <v>176</v>
      </c>
      <c r="C54" s="189">
        <v>200</v>
      </c>
      <c r="D54" s="190">
        <v>3.17</v>
      </c>
      <c r="E54" s="190">
        <v>3.23</v>
      </c>
      <c r="F54" s="190">
        <v>16.72</v>
      </c>
      <c r="G54" s="190">
        <v>113</v>
      </c>
      <c r="H54" s="215"/>
      <c r="I54" s="184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4"/>
    </row>
    <row r="55" spans="1:24" x14ac:dyDescent="0.2">
      <c r="A55" s="189" t="s">
        <v>234</v>
      </c>
      <c r="B55" s="183" t="s">
        <v>157</v>
      </c>
      <c r="C55" s="189">
        <v>200</v>
      </c>
      <c r="D55" s="190">
        <v>16.48</v>
      </c>
      <c r="E55" s="190">
        <v>25.76</v>
      </c>
      <c r="F55" s="190">
        <v>10.39</v>
      </c>
      <c r="G55" s="190">
        <v>345</v>
      </c>
    </row>
    <row r="56" spans="1:24" ht="28.5" customHeight="1" x14ac:dyDescent="0.2">
      <c r="A56" s="196" t="s">
        <v>40</v>
      </c>
      <c r="B56" s="183" t="s">
        <v>225</v>
      </c>
      <c r="C56" s="189">
        <v>200</v>
      </c>
      <c r="D56" s="190">
        <v>0.02</v>
      </c>
      <c r="E56" s="190"/>
      <c r="F56" s="190">
        <v>29.31</v>
      </c>
      <c r="G56" s="190">
        <v>123.16</v>
      </c>
      <c r="H56" s="197"/>
      <c r="I56" s="197"/>
      <c r="J56" s="197"/>
      <c r="K56" s="197"/>
      <c r="L56" s="197"/>
      <c r="M56" s="184"/>
      <c r="N56" s="197"/>
      <c r="O56" s="197"/>
      <c r="P56" s="197"/>
      <c r="Q56" s="197"/>
      <c r="R56" s="197"/>
    </row>
    <row r="57" spans="1:24" x14ac:dyDescent="0.2">
      <c r="A57" s="189"/>
      <c r="B57" s="218" t="s">
        <v>11</v>
      </c>
      <c r="C57" s="196">
        <v>40</v>
      </c>
      <c r="D57" s="192">
        <v>3.04</v>
      </c>
      <c r="E57" s="192">
        <v>0.32</v>
      </c>
      <c r="F57" s="192">
        <v>19.68</v>
      </c>
      <c r="G57" s="192">
        <v>98.34</v>
      </c>
    </row>
    <row r="58" spans="1:24" x14ac:dyDescent="0.2">
      <c r="A58" s="262" t="s">
        <v>252</v>
      </c>
      <c r="B58" s="263"/>
      <c r="C58" s="187">
        <f>SUM(C53:C57)</f>
        <v>700</v>
      </c>
      <c r="D58" s="190"/>
      <c r="E58" s="190"/>
      <c r="F58" s="190"/>
      <c r="G58" s="190"/>
    </row>
    <row r="59" spans="1:24" ht="27.95" customHeight="1" x14ac:dyDescent="0.2">
      <c r="A59" s="272" t="s">
        <v>64</v>
      </c>
      <c r="B59" s="273"/>
      <c r="C59" s="274"/>
      <c r="D59" s="186">
        <f>D60</f>
        <v>19.53</v>
      </c>
      <c r="E59" s="186">
        <f t="shared" ref="E59:G59" si="4">E60</f>
        <v>30.099999999999998</v>
      </c>
      <c r="F59" s="186">
        <f t="shared" si="4"/>
        <v>83.949999999999989</v>
      </c>
      <c r="G59" s="186">
        <f t="shared" si="4"/>
        <v>705.6160000000001</v>
      </c>
    </row>
    <row r="60" spans="1:24" ht="13.5" customHeight="1" x14ac:dyDescent="0.2">
      <c r="A60" s="189"/>
      <c r="B60" s="216" t="s">
        <v>67</v>
      </c>
      <c r="C60" s="222"/>
      <c r="D60" s="217">
        <f>D61+D62+D63+D64+D65+D66</f>
        <v>19.53</v>
      </c>
      <c r="E60" s="217">
        <f t="shared" ref="E60:G60" si="5">E61+E62+E63+E64+E65+E66</f>
        <v>30.099999999999998</v>
      </c>
      <c r="F60" s="217">
        <f t="shared" si="5"/>
        <v>83.949999999999989</v>
      </c>
      <c r="G60" s="217">
        <f t="shared" si="5"/>
        <v>705.6160000000001</v>
      </c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</row>
    <row r="61" spans="1:24" ht="15" customHeight="1" x14ac:dyDescent="0.2">
      <c r="A61" s="189" t="s">
        <v>192</v>
      </c>
      <c r="B61" s="183" t="s">
        <v>137</v>
      </c>
      <c r="C61" s="220">
        <v>60</v>
      </c>
      <c r="D61" s="190">
        <v>0.94</v>
      </c>
      <c r="E61" s="190">
        <v>3.06</v>
      </c>
      <c r="F61" s="190">
        <v>5.66</v>
      </c>
      <c r="G61" s="190">
        <v>55.26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</row>
    <row r="62" spans="1:24" ht="12.75" customHeight="1" x14ac:dyDescent="0.2">
      <c r="A62" s="196" t="s">
        <v>187</v>
      </c>
      <c r="B62" s="183" t="s">
        <v>177</v>
      </c>
      <c r="C62" s="221">
        <v>205</v>
      </c>
      <c r="D62" s="190">
        <v>2.65</v>
      </c>
      <c r="E62" s="190">
        <v>6.31</v>
      </c>
      <c r="F62" s="190">
        <v>12.49</v>
      </c>
      <c r="G62" s="190">
        <v>120.39</v>
      </c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</row>
    <row r="63" spans="1:24" ht="13.5" customHeight="1" x14ac:dyDescent="0.2">
      <c r="A63" s="196" t="s">
        <v>235</v>
      </c>
      <c r="B63" s="183" t="s">
        <v>202</v>
      </c>
      <c r="C63" s="221">
        <v>100</v>
      </c>
      <c r="D63" s="190">
        <v>9.6300000000000008</v>
      </c>
      <c r="E63" s="190">
        <v>12.61</v>
      </c>
      <c r="F63" s="190">
        <v>8.51</v>
      </c>
      <c r="G63" s="190">
        <v>189.68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</row>
    <row r="64" spans="1:24" ht="14.25" customHeight="1" x14ac:dyDescent="0.2">
      <c r="A64" s="196" t="s">
        <v>34</v>
      </c>
      <c r="B64" s="183" t="s">
        <v>32</v>
      </c>
      <c r="C64" s="221">
        <v>150</v>
      </c>
      <c r="D64" s="190">
        <v>3.26</v>
      </c>
      <c r="E64" s="190">
        <v>7.8</v>
      </c>
      <c r="F64" s="190">
        <v>21.99</v>
      </c>
      <c r="G64" s="190">
        <v>176.3</v>
      </c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</row>
    <row r="65" spans="1:24" ht="14.25" customHeight="1" x14ac:dyDescent="0.2">
      <c r="A65" s="189" t="s">
        <v>231</v>
      </c>
      <c r="B65" s="183" t="s">
        <v>160</v>
      </c>
      <c r="C65" s="221">
        <v>200</v>
      </c>
      <c r="D65" s="190">
        <v>0.01</v>
      </c>
      <c r="E65" s="190"/>
      <c r="F65" s="190">
        <v>15.62</v>
      </c>
      <c r="G65" s="190">
        <v>65.646000000000001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</row>
    <row r="66" spans="1:24" ht="13.5" customHeight="1" x14ac:dyDescent="0.2">
      <c r="A66" s="206"/>
      <c r="B66" s="219" t="s">
        <v>11</v>
      </c>
      <c r="C66" s="221">
        <v>40</v>
      </c>
      <c r="D66" s="190">
        <v>3.04</v>
      </c>
      <c r="E66" s="190">
        <v>0.32</v>
      </c>
      <c r="F66" s="190">
        <v>19.68</v>
      </c>
      <c r="G66" s="190">
        <v>98.34</v>
      </c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</row>
    <row r="67" spans="1:24" x14ac:dyDescent="0.2">
      <c r="A67" s="262" t="s">
        <v>252</v>
      </c>
      <c r="B67" s="263"/>
      <c r="C67" s="208">
        <f>SUM(C61:C66)</f>
        <v>755</v>
      </c>
      <c r="D67" s="190"/>
      <c r="E67" s="190"/>
      <c r="F67" s="190"/>
      <c r="G67" s="190"/>
      <c r="H67" s="198"/>
      <c r="I67" s="197"/>
      <c r="J67" s="197"/>
      <c r="K67" s="198"/>
      <c r="L67" s="184"/>
      <c r="M67" s="184"/>
      <c r="N67" s="184"/>
      <c r="O67" s="184"/>
      <c r="P67" s="184"/>
      <c r="Q67" s="184"/>
      <c r="R67" s="184"/>
      <c r="S67" s="184"/>
      <c r="T67" s="184"/>
      <c r="U67" s="197"/>
      <c r="V67" s="184"/>
      <c r="W67" s="184"/>
      <c r="X67" s="198"/>
    </row>
    <row r="68" spans="1:24" ht="27.95" customHeight="1" x14ac:dyDescent="0.2">
      <c r="A68" s="272" t="s">
        <v>249</v>
      </c>
      <c r="B68" s="273"/>
      <c r="C68" s="274"/>
      <c r="D68" s="186">
        <f>D69</f>
        <v>23.86</v>
      </c>
      <c r="E68" s="186">
        <f>E69</f>
        <v>38.56</v>
      </c>
      <c r="F68" s="186">
        <f>F69</f>
        <v>92.72</v>
      </c>
      <c r="G68" s="186">
        <f>G69</f>
        <v>837.70999999999992</v>
      </c>
    </row>
    <row r="69" spans="1:24" x14ac:dyDescent="0.2">
      <c r="A69" s="206"/>
      <c r="B69" s="216" t="s">
        <v>67</v>
      </c>
      <c r="C69" s="224"/>
      <c r="D69" s="186">
        <f>D70+D71+D72+D73+D74+D75</f>
        <v>23.86</v>
      </c>
      <c r="E69" s="186">
        <f t="shared" ref="E69:F69" si="6">E70+E71+E72+E73+E74+E75</f>
        <v>38.56</v>
      </c>
      <c r="F69" s="186">
        <f t="shared" si="6"/>
        <v>92.72</v>
      </c>
      <c r="G69" s="186">
        <f>G70+G71+G72+G73+G74+G75</f>
        <v>837.70999999999992</v>
      </c>
    </row>
    <row r="70" spans="1:24" x14ac:dyDescent="0.2">
      <c r="A70" s="189" t="s">
        <v>68</v>
      </c>
      <c r="B70" s="183" t="s">
        <v>69</v>
      </c>
      <c r="C70" s="221">
        <v>60</v>
      </c>
      <c r="D70" s="223">
        <v>0.84</v>
      </c>
      <c r="E70" s="190">
        <v>3.06</v>
      </c>
      <c r="F70" s="190">
        <v>6.83</v>
      </c>
      <c r="G70" s="190">
        <v>59.75</v>
      </c>
    </row>
    <row r="71" spans="1:24" ht="12" customHeight="1" x14ac:dyDescent="0.2">
      <c r="A71" s="189" t="s">
        <v>130</v>
      </c>
      <c r="B71" s="183" t="s">
        <v>178</v>
      </c>
      <c r="C71" s="221">
        <v>205</v>
      </c>
      <c r="D71" s="190">
        <v>3.39</v>
      </c>
      <c r="E71" s="190">
        <f>10.16+12.36</f>
        <v>22.52</v>
      </c>
      <c r="F71" s="190">
        <f>4.87+8.96</f>
        <v>13.830000000000002</v>
      </c>
      <c r="G71" s="190">
        <v>275.04000000000002</v>
      </c>
    </row>
    <row r="72" spans="1:24" x14ac:dyDescent="0.2">
      <c r="A72" s="196" t="s">
        <v>131</v>
      </c>
      <c r="B72" s="183" t="s">
        <v>146</v>
      </c>
      <c r="C72" s="189">
        <v>90</v>
      </c>
      <c r="D72" s="190">
        <v>11.84</v>
      </c>
      <c r="E72" s="190">
        <v>10.06</v>
      </c>
      <c r="F72" s="190">
        <v>16.03</v>
      </c>
      <c r="G72" s="190">
        <v>208</v>
      </c>
    </row>
    <row r="73" spans="1:24" x14ac:dyDescent="0.2">
      <c r="A73" s="189" t="s">
        <v>33</v>
      </c>
      <c r="B73" s="183" t="s">
        <v>12</v>
      </c>
      <c r="C73" s="221">
        <v>150</v>
      </c>
      <c r="D73" s="190">
        <v>5.64</v>
      </c>
      <c r="E73" s="190">
        <v>2.84</v>
      </c>
      <c r="F73" s="190">
        <v>36</v>
      </c>
      <c r="G73" s="190">
        <v>201</v>
      </c>
    </row>
    <row r="74" spans="1:24" x14ac:dyDescent="0.2">
      <c r="A74" s="196" t="s">
        <v>42</v>
      </c>
      <c r="B74" s="183" t="s">
        <v>223</v>
      </c>
      <c r="C74" s="221">
        <v>200</v>
      </c>
      <c r="D74" s="190">
        <v>1.1499999999999999</v>
      </c>
      <c r="E74" s="190"/>
      <c r="F74" s="190">
        <v>12.03</v>
      </c>
      <c r="G74" s="190">
        <v>55.4</v>
      </c>
    </row>
    <row r="75" spans="1:24" x14ac:dyDescent="0.2">
      <c r="A75" s="206"/>
      <c r="B75" s="219" t="s">
        <v>37</v>
      </c>
      <c r="C75" s="221">
        <v>20</v>
      </c>
      <c r="D75" s="190">
        <v>1</v>
      </c>
      <c r="E75" s="190">
        <v>0.08</v>
      </c>
      <c r="F75" s="190">
        <v>8</v>
      </c>
      <c r="G75" s="190">
        <v>38.520000000000003</v>
      </c>
    </row>
    <row r="76" spans="1:24" x14ac:dyDescent="0.2">
      <c r="A76" s="262" t="s">
        <v>252</v>
      </c>
      <c r="B76" s="263"/>
      <c r="C76" s="208">
        <f>SUM(C70:C75)</f>
        <v>725</v>
      </c>
      <c r="D76" s="190"/>
      <c r="E76" s="190"/>
      <c r="F76" s="190"/>
      <c r="G76" s="190"/>
    </row>
    <row r="77" spans="1:24" ht="27.95" customHeight="1" x14ac:dyDescent="0.2">
      <c r="A77" s="272" t="s">
        <v>250</v>
      </c>
      <c r="B77" s="273"/>
      <c r="C77" s="274"/>
      <c r="D77" s="186">
        <f>D78</f>
        <v>20</v>
      </c>
      <c r="E77" s="186">
        <f>E78</f>
        <v>17.349999999999998</v>
      </c>
      <c r="F77" s="186">
        <f>F78</f>
        <v>110.64000000000001</v>
      </c>
      <c r="G77" s="186">
        <f>G78</f>
        <v>705.24</v>
      </c>
    </row>
    <row r="78" spans="1:24" ht="13.5" customHeight="1" x14ac:dyDescent="0.2">
      <c r="A78" s="189"/>
      <c r="B78" s="216" t="s">
        <v>67</v>
      </c>
      <c r="C78" s="187"/>
      <c r="D78" s="186">
        <f t="shared" ref="D78:G78" si="7">D79+D80+D81+D82+D83+D84</f>
        <v>20</v>
      </c>
      <c r="E78" s="186">
        <f t="shared" si="7"/>
        <v>17.349999999999998</v>
      </c>
      <c r="F78" s="186">
        <f t="shared" si="7"/>
        <v>110.64000000000001</v>
      </c>
      <c r="G78" s="186">
        <f t="shared" si="7"/>
        <v>705.24</v>
      </c>
    </row>
    <row r="79" spans="1:24" x14ac:dyDescent="0.2">
      <c r="A79" s="206" t="s">
        <v>147</v>
      </c>
      <c r="B79" s="183" t="s">
        <v>148</v>
      </c>
      <c r="C79" s="189">
        <v>60</v>
      </c>
      <c r="D79" s="190">
        <v>0.74</v>
      </c>
      <c r="E79" s="190">
        <v>0.06</v>
      </c>
      <c r="F79" s="190">
        <v>16.920000000000002</v>
      </c>
      <c r="G79" s="190">
        <v>74.709999999999994</v>
      </c>
    </row>
    <row r="80" spans="1:24" ht="25.5" x14ac:dyDescent="0.2">
      <c r="A80" s="189" t="s">
        <v>124</v>
      </c>
      <c r="B80" s="183" t="s">
        <v>176</v>
      </c>
      <c r="C80" s="189">
        <v>200</v>
      </c>
      <c r="D80" s="190">
        <v>3.17</v>
      </c>
      <c r="E80" s="190">
        <v>3.23</v>
      </c>
      <c r="F80" s="190">
        <v>16.72</v>
      </c>
      <c r="G80" s="190">
        <v>113</v>
      </c>
    </row>
    <row r="81" spans="1:25" x14ac:dyDescent="0.2">
      <c r="A81" s="189" t="s">
        <v>226</v>
      </c>
      <c r="B81" s="183" t="s">
        <v>140</v>
      </c>
      <c r="C81" s="193">
        <v>115</v>
      </c>
      <c r="D81" s="190">
        <v>6.32</v>
      </c>
      <c r="E81" s="190">
        <v>8.7899999999999991</v>
      </c>
      <c r="F81" s="190">
        <v>19.37</v>
      </c>
      <c r="G81" s="190">
        <v>187.01</v>
      </c>
    </row>
    <row r="82" spans="1:25" x14ac:dyDescent="0.2">
      <c r="A82" s="196" t="s">
        <v>38</v>
      </c>
      <c r="B82" s="183" t="s">
        <v>36</v>
      </c>
      <c r="C82" s="189">
        <v>150</v>
      </c>
      <c r="D82" s="190">
        <v>8.77</v>
      </c>
      <c r="E82" s="190">
        <v>5.19</v>
      </c>
      <c r="F82" s="190">
        <v>39.630000000000003</v>
      </c>
      <c r="G82" s="190">
        <v>250</v>
      </c>
    </row>
    <row r="83" spans="1:25" x14ac:dyDescent="0.2">
      <c r="A83" s="196" t="s">
        <v>182</v>
      </c>
      <c r="B83" s="183" t="s">
        <v>10</v>
      </c>
      <c r="C83" s="189">
        <v>200</v>
      </c>
      <c r="D83" s="190">
        <v>0</v>
      </c>
      <c r="E83" s="190">
        <v>0</v>
      </c>
      <c r="F83" s="190">
        <v>10</v>
      </c>
      <c r="G83" s="190">
        <v>42</v>
      </c>
    </row>
    <row r="84" spans="1:25" ht="12" customHeight="1" x14ac:dyDescent="0.2">
      <c r="A84" s="206"/>
      <c r="B84" s="219" t="s">
        <v>37</v>
      </c>
      <c r="C84" s="189">
        <v>20</v>
      </c>
      <c r="D84" s="190">
        <v>1</v>
      </c>
      <c r="E84" s="190">
        <v>0.08</v>
      </c>
      <c r="F84" s="190">
        <v>8</v>
      </c>
      <c r="G84" s="190">
        <v>38.520000000000003</v>
      </c>
    </row>
    <row r="85" spans="1:25" x14ac:dyDescent="0.2">
      <c r="A85" s="262" t="s">
        <v>252</v>
      </c>
      <c r="B85" s="263"/>
      <c r="C85" s="210">
        <f>SUM(C79:C84)</f>
        <v>745</v>
      </c>
      <c r="D85" s="190"/>
      <c r="E85" s="190"/>
      <c r="F85" s="190"/>
      <c r="G85" s="190"/>
    </row>
    <row r="86" spans="1:25" ht="27.95" customHeight="1" x14ac:dyDescent="0.2">
      <c r="A86" s="272" t="s">
        <v>251</v>
      </c>
      <c r="B86" s="273"/>
      <c r="C86" s="274"/>
      <c r="D86" s="186">
        <f>D88+D89+D90+D91+D92+D93</f>
        <v>31.389999999999997</v>
      </c>
      <c r="E86" s="186">
        <f>E88+E89+E90+E91+E92+E93</f>
        <v>22.91</v>
      </c>
      <c r="F86" s="186">
        <f>F88+F89+F90+F91+F92+F93</f>
        <v>94.69</v>
      </c>
      <c r="G86" s="186">
        <f>G88+G89+G90+G91+G92+G93</f>
        <v>736.82</v>
      </c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2"/>
    </row>
    <row r="87" spans="1:25" x14ac:dyDescent="0.2">
      <c r="A87" s="189"/>
      <c r="B87" s="216" t="s">
        <v>67</v>
      </c>
      <c r="C87" s="187"/>
      <c r="D87" s="186">
        <f>D88+D89+D90+D91+D92+D93</f>
        <v>31.389999999999997</v>
      </c>
      <c r="E87" s="186">
        <f t="shared" ref="E87:F87" si="8">E88+E89+E90+E91+E92+E93</f>
        <v>22.91</v>
      </c>
      <c r="F87" s="186">
        <f t="shared" si="8"/>
        <v>94.69</v>
      </c>
      <c r="G87" s="186">
        <f>G88+G89+G90+G91+G92+G93</f>
        <v>736.82</v>
      </c>
      <c r="H87" s="204"/>
      <c r="I87" s="203"/>
      <c r="J87" s="203"/>
      <c r="K87" s="203"/>
      <c r="L87" s="205"/>
      <c r="M87" s="205"/>
      <c r="N87" s="204"/>
      <c r="O87" s="204"/>
      <c r="P87" s="204"/>
      <c r="Q87" s="204"/>
      <c r="R87" s="204"/>
      <c r="S87" s="204"/>
      <c r="T87" s="204"/>
      <c r="U87" s="205"/>
      <c r="V87" s="204"/>
      <c r="W87" s="204"/>
      <c r="X87" s="205"/>
    </row>
    <row r="88" spans="1:25" x14ac:dyDescent="0.2">
      <c r="A88" s="189" t="s">
        <v>142</v>
      </c>
      <c r="B88" s="183" t="s">
        <v>143</v>
      </c>
      <c r="C88" s="193">
        <v>60</v>
      </c>
      <c r="D88" s="190">
        <v>0.9</v>
      </c>
      <c r="E88" s="190">
        <v>0.06</v>
      </c>
      <c r="F88" s="190">
        <v>5.28</v>
      </c>
      <c r="G88" s="190">
        <v>27</v>
      </c>
      <c r="H88" s="204"/>
      <c r="I88" s="203"/>
      <c r="J88" s="203"/>
      <c r="K88" s="203"/>
      <c r="L88" s="205"/>
      <c r="M88" s="205"/>
      <c r="N88" s="204"/>
      <c r="O88" s="204"/>
      <c r="P88" s="204"/>
      <c r="Q88" s="204"/>
      <c r="R88" s="204"/>
      <c r="S88" s="204"/>
      <c r="T88" s="204"/>
      <c r="U88" s="205"/>
      <c r="V88" s="204"/>
      <c r="W88" s="204"/>
      <c r="X88" s="205"/>
    </row>
    <row r="89" spans="1:25" ht="25.5" x14ac:dyDescent="0.2">
      <c r="A89" s="196" t="s">
        <v>101</v>
      </c>
      <c r="B89" s="183" t="s">
        <v>172</v>
      </c>
      <c r="C89" s="189">
        <v>205</v>
      </c>
      <c r="D89" s="190">
        <v>5.81</v>
      </c>
      <c r="E89" s="190">
        <v>11.82</v>
      </c>
      <c r="F89" s="190">
        <v>15.48</v>
      </c>
      <c r="G89" s="190">
        <v>196</v>
      </c>
      <c r="H89" s="204"/>
      <c r="I89" s="203"/>
      <c r="J89" s="203"/>
      <c r="K89" s="203"/>
      <c r="L89" s="205"/>
      <c r="M89" s="205"/>
      <c r="N89" s="204"/>
      <c r="O89" s="204"/>
      <c r="P89" s="204"/>
      <c r="Q89" s="204"/>
      <c r="R89" s="204"/>
      <c r="S89" s="204"/>
      <c r="T89" s="204"/>
      <c r="U89" s="205"/>
      <c r="V89" s="204"/>
      <c r="W89" s="204"/>
      <c r="X89" s="205"/>
    </row>
    <row r="90" spans="1:25" x14ac:dyDescent="0.2">
      <c r="A90" s="189" t="s">
        <v>233</v>
      </c>
      <c r="B90" s="183" t="s">
        <v>170</v>
      </c>
      <c r="C90" s="189">
        <v>100</v>
      </c>
      <c r="D90" s="190">
        <v>17.829999999999998</v>
      </c>
      <c r="E90" s="190">
        <v>7.99</v>
      </c>
      <c r="F90" s="190">
        <v>4.25</v>
      </c>
      <c r="G90" s="190">
        <v>165</v>
      </c>
      <c r="H90" s="204"/>
      <c r="I90" s="203"/>
      <c r="J90" s="203"/>
      <c r="K90" s="203"/>
      <c r="L90" s="205"/>
      <c r="M90" s="205"/>
      <c r="N90" s="204"/>
      <c r="O90" s="204"/>
      <c r="P90" s="204"/>
      <c r="Q90" s="204"/>
      <c r="R90" s="204"/>
      <c r="S90" s="204"/>
      <c r="T90" s="204"/>
      <c r="U90" s="205"/>
      <c r="V90" s="204"/>
      <c r="W90" s="204"/>
      <c r="X90" s="205"/>
    </row>
    <row r="91" spans="1:25" x14ac:dyDescent="0.2">
      <c r="A91" s="196" t="s">
        <v>189</v>
      </c>
      <c r="B91" s="183" t="s">
        <v>159</v>
      </c>
      <c r="C91" s="189">
        <v>150</v>
      </c>
      <c r="D91" s="190">
        <v>3.81</v>
      </c>
      <c r="E91" s="190">
        <v>2.72</v>
      </c>
      <c r="F91" s="190">
        <v>40</v>
      </c>
      <c r="G91" s="190">
        <v>208.48</v>
      </c>
      <c r="H91" s="204"/>
      <c r="I91" s="203"/>
      <c r="J91" s="203"/>
      <c r="K91" s="203"/>
      <c r="L91" s="205"/>
      <c r="M91" s="205"/>
      <c r="N91" s="204"/>
      <c r="O91" s="204"/>
      <c r="P91" s="204"/>
      <c r="Q91" s="204"/>
      <c r="R91" s="204"/>
      <c r="S91" s="204"/>
      <c r="T91" s="204"/>
      <c r="U91" s="205"/>
      <c r="V91" s="204"/>
      <c r="W91" s="204"/>
      <c r="X91" s="205"/>
    </row>
    <row r="92" spans="1:25" x14ac:dyDescent="0.2">
      <c r="A92" s="196" t="s">
        <v>182</v>
      </c>
      <c r="B92" s="183" t="s">
        <v>10</v>
      </c>
      <c r="C92" s="189">
        <v>200</v>
      </c>
      <c r="D92" s="190">
        <v>0</v>
      </c>
      <c r="E92" s="190">
        <v>0</v>
      </c>
      <c r="F92" s="190">
        <v>10</v>
      </c>
      <c r="G92" s="190">
        <v>42</v>
      </c>
      <c r="H92" s="204"/>
      <c r="I92" s="203"/>
      <c r="J92" s="203"/>
      <c r="K92" s="203"/>
      <c r="L92" s="205"/>
      <c r="M92" s="205"/>
      <c r="N92" s="204"/>
      <c r="O92" s="204"/>
      <c r="P92" s="204"/>
      <c r="Q92" s="204"/>
      <c r="R92" s="204"/>
      <c r="S92" s="204"/>
      <c r="T92" s="204"/>
      <c r="U92" s="205"/>
      <c r="V92" s="204"/>
      <c r="W92" s="204"/>
      <c r="X92" s="205"/>
    </row>
    <row r="93" spans="1:25" x14ac:dyDescent="0.2">
      <c r="A93" s="206"/>
      <c r="B93" s="219" t="s">
        <v>11</v>
      </c>
      <c r="C93" s="221">
        <v>40</v>
      </c>
      <c r="D93" s="190">
        <v>3.04</v>
      </c>
      <c r="E93" s="190">
        <v>0.32</v>
      </c>
      <c r="F93" s="190">
        <v>19.68</v>
      </c>
      <c r="G93" s="190">
        <v>98.34</v>
      </c>
      <c r="H93" s="204"/>
      <c r="I93" s="203"/>
      <c r="J93" s="203"/>
      <c r="K93" s="203"/>
      <c r="L93" s="205"/>
      <c r="M93" s="205"/>
      <c r="N93" s="204"/>
      <c r="O93" s="204"/>
      <c r="P93" s="204"/>
      <c r="Q93" s="204"/>
      <c r="R93" s="204"/>
      <c r="S93" s="204"/>
      <c r="T93" s="204"/>
      <c r="U93" s="205"/>
      <c r="V93" s="204"/>
      <c r="W93" s="204"/>
      <c r="X93" s="205"/>
    </row>
    <row r="94" spans="1:25" x14ac:dyDescent="0.2">
      <c r="A94" s="262" t="s">
        <v>252</v>
      </c>
      <c r="B94" s="263"/>
      <c r="C94" s="187">
        <f>SUM(C88:C93)</f>
        <v>755</v>
      </c>
      <c r="D94" s="189"/>
      <c r="E94" s="189"/>
      <c r="F94" s="189"/>
      <c r="G94" s="189"/>
      <c r="H94" s="204"/>
      <c r="I94" s="203"/>
      <c r="J94" s="203"/>
      <c r="K94" s="203"/>
      <c r="L94" s="205"/>
      <c r="M94" s="205"/>
      <c r="N94" s="204"/>
      <c r="O94" s="204"/>
      <c r="P94" s="204"/>
      <c r="Q94" s="204"/>
      <c r="R94" s="204"/>
      <c r="S94" s="204"/>
      <c r="T94" s="204"/>
      <c r="U94" s="205"/>
      <c r="V94" s="204"/>
      <c r="W94" s="204"/>
      <c r="X94" s="205"/>
    </row>
    <row r="95" spans="1:25" x14ac:dyDescent="0.2">
      <c r="A95" s="280" t="s">
        <v>265</v>
      </c>
      <c r="B95" s="281"/>
      <c r="C95" s="282"/>
      <c r="D95" s="232">
        <f>D96</f>
        <v>27.680000000000003</v>
      </c>
      <c r="E95" s="232">
        <f t="shared" ref="E95:F95" si="9">E96</f>
        <v>31.280000000000005</v>
      </c>
      <c r="F95" s="232">
        <f t="shared" si="9"/>
        <v>111.24000000000001</v>
      </c>
      <c r="G95" s="232">
        <f>G96</f>
        <v>862.19999999999993</v>
      </c>
    </row>
    <row r="96" spans="1:25" x14ac:dyDescent="0.2">
      <c r="A96" s="238"/>
      <c r="B96" s="246" t="s">
        <v>67</v>
      </c>
      <c r="C96" s="247"/>
      <c r="D96" s="248">
        <f>D97+D98+D99+D100+D101+D102</f>
        <v>27.680000000000003</v>
      </c>
      <c r="E96" s="248">
        <f t="shared" ref="E96:G96" si="10">E97+E98+E99+E100+E101+E102</f>
        <v>31.280000000000005</v>
      </c>
      <c r="F96" s="248">
        <f t="shared" si="10"/>
        <v>111.24000000000001</v>
      </c>
      <c r="G96" s="248">
        <f t="shared" si="10"/>
        <v>862.19999999999993</v>
      </c>
    </row>
    <row r="97" spans="1:7" x14ac:dyDescent="0.2">
      <c r="A97" s="235" t="s">
        <v>82</v>
      </c>
      <c r="B97" s="242" t="s">
        <v>83</v>
      </c>
      <c r="C97" s="249">
        <v>60</v>
      </c>
      <c r="D97" s="237">
        <v>1.21</v>
      </c>
      <c r="E97" s="237">
        <v>6.2</v>
      </c>
      <c r="F97" s="237">
        <v>12.33</v>
      </c>
      <c r="G97" s="237">
        <v>113</v>
      </c>
    </row>
    <row r="98" spans="1:7" ht="25.5" x14ac:dyDescent="0.2">
      <c r="A98" s="235" t="s">
        <v>290</v>
      </c>
      <c r="B98" s="242" t="s">
        <v>289</v>
      </c>
      <c r="C98" s="235">
        <v>205</v>
      </c>
      <c r="D98" s="237">
        <v>1.96</v>
      </c>
      <c r="E98" s="237">
        <v>4.45</v>
      </c>
      <c r="F98" s="237">
        <v>13.72</v>
      </c>
      <c r="G98" s="237">
        <v>102.73</v>
      </c>
    </row>
    <row r="99" spans="1:7" x14ac:dyDescent="0.2">
      <c r="A99" s="235" t="s">
        <v>227</v>
      </c>
      <c r="B99" s="242" t="s">
        <v>154</v>
      </c>
      <c r="C99" s="235">
        <v>110</v>
      </c>
      <c r="D99" s="237">
        <v>5.73</v>
      </c>
      <c r="E99" s="237">
        <v>16.34</v>
      </c>
      <c r="F99" s="237">
        <v>10.38</v>
      </c>
      <c r="G99" s="237">
        <v>215</v>
      </c>
    </row>
    <row r="100" spans="1:7" x14ac:dyDescent="0.2">
      <c r="A100" s="238" t="s">
        <v>134</v>
      </c>
      <c r="B100" s="242" t="s">
        <v>155</v>
      </c>
      <c r="C100" s="235">
        <v>150</v>
      </c>
      <c r="D100" s="237">
        <v>16.260000000000002</v>
      </c>
      <c r="E100" s="237">
        <v>4.03</v>
      </c>
      <c r="F100" s="237">
        <v>33.97</v>
      </c>
      <c r="G100" s="237">
        <v>247.3</v>
      </c>
    </row>
    <row r="101" spans="1:7" ht="25.5" x14ac:dyDescent="0.2">
      <c r="A101" s="235" t="s">
        <v>42</v>
      </c>
      <c r="B101" s="236" t="s">
        <v>224</v>
      </c>
      <c r="C101" s="235">
        <v>200</v>
      </c>
      <c r="D101" s="237">
        <v>1</v>
      </c>
      <c r="E101" s="237">
        <v>0.1</v>
      </c>
      <c r="F101" s="237">
        <v>31</v>
      </c>
      <c r="G101" s="237">
        <v>135</v>
      </c>
    </row>
    <row r="102" spans="1:7" x14ac:dyDescent="0.2">
      <c r="A102" s="235"/>
      <c r="B102" s="242" t="s">
        <v>11</v>
      </c>
      <c r="C102" s="235">
        <v>20</v>
      </c>
      <c r="D102" s="237">
        <v>1.52</v>
      </c>
      <c r="E102" s="237">
        <v>0.16</v>
      </c>
      <c r="F102" s="237">
        <v>9.84</v>
      </c>
      <c r="G102" s="237">
        <v>49.17</v>
      </c>
    </row>
    <row r="103" spans="1:7" x14ac:dyDescent="0.2">
      <c r="A103" s="270" t="s">
        <v>252</v>
      </c>
      <c r="B103" s="271"/>
      <c r="C103" s="240">
        <f>SUM(C97:C102)</f>
        <v>745</v>
      </c>
      <c r="D103" s="241"/>
      <c r="E103" s="241"/>
      <c r="F103" s="241"/>
      <c r="G103" s="241"/>
    </row>
    <row r="104" spans="1:7" x14ac:dyDescent="0.2">
      <c r="A104" s="280" t="s">
        <v>266</v>
      </c>
      <c r="B104" s="281"/>
      <c r="C104" s="282"/>
      <c r="D104" s="232">
        <f>D105</f>
        <v>27.119999999999997</v>
      </c>
      <c r="E104" s="232">
        <f t="shared" ref="E104:G104" si="11">E105</f>
        <v>23.020000000000003</v>
      </c>
      <c r="F104" s="232">
        <f t="shared" si="11"/>
        <v>92.39</v>
      </c>
      <c r="G104" s="232">
        <f t="shared" si="11"/>
        <v>710.43</v>
      </c>
    </row>
    <row r="105" spans="1:7" x14ac:dyDescent="0.2">
      <c r="A105" s="235"/>
      <c r="B105" s="246" t="s">
        <v>67</v>
      </c>
      <c r="C105" s="250"/>
      <c r="D105" s="232">
        <f>D106+D107+D108+D109+D110+D111+D112</f>
        <v>27.119999999999997</v>
      </c>
      <c r="E105" s="232">
        <f t="shared" ref="E105:G105" si="12">E106+E107+E108+E109+E110+E111+E112</f>
        <v>23.020000000000003</v>
      </c>
      <c r="F105" s="232">
        <f t="shared" si="12"/>
        <v>92.39</v>
      </c>
      <c r="G105" s="232">
        <f t="shared" si="12"/>
        <v>710.43</v>
      </c>
    </row>
    <row r="106" spans="1:7" x14ac:dyDescent="0.2">
      <c r="A106" s="235" t="s">
        <v>292</v>
      </c>
      <c r="B106" s="236" t="s">
        <v>291</v>
      </c>
      <c r="C106" s="235">
        <v>60</v>
      </c>
      <c r="D106" s="251">
        <v>0.48</v>
      </c>
      <c r="E106" s="237">
        <v>0</v>
      </c>
      <c r="F106" s="237">
        <v>1.02</v>
      </c>
      <c r="G106" s="237">
        <v>6</v>
      </c>
    </row>
    <row r="107" spans="1:7" x14ac:dyDescent="0.2">
      <c r="A107" s="235" t="s">
        <v>184</v>
      </c>
      <c r="B107" s="242" t="s">
        <v>138</v>
      </c>
      <c r="C107" s="235">
        <v>205</v>
      </c>
      <c r="D107" s="237">
        <v>3.09</v>
      </c>
      <c r="E107" s="237">
        <v>4.6100000000000003</v>
      </c>
      <c r="F107" s="237">
        <v>12.54</v>
      </c>
      <c r="G107" s="237">
        <v>107.36</v>
      </c>
    </row>
    <row r="108" spans="1:7" x14ac:dyDescent="0.2">
      <c r="A108" s="238" t="s">
        <v>131</v>
      </c>
      <c r="B108" s="242" t="s">
        <v>146</v>
      </c>
      <c r="C108" s="235">
        <v>90</v>
      </c>
      <c r="D108" s="237">
        <v>11.84</v>
      </c>
      <c r="E108" s="237">
        <v>10.06</v>
      </c>
      <c r="F108" s="237">
        <v>16.03</v>
      </c>
      <c r="G108" s="237">
        <v>208</v>
      </c>
    </row>
    <row r="109" spans="1:7" x14ac:dyDescent="0.2">
      <c r="A109" s="238" t="s">
        <v>38</v>
      </c>
      <c r="B109" s="242" t="s">
        <v>36</v>
      </c>
      <c r="C109" s="235">
        <v>150</v>
      </c>
      <c r="D109" s="237">
        <v>8.77</v>
      </c>
      <c r="E109" s="237">
        <v>5.19</v>
      </c>
      <c r="F109" s="237">
        <v>39.630000000000003</v>
      </c>
      <c r="G109" s="237">
        <v>250</v>
      </c>
    </row>
    <row r="110" spans="1:7" x14ac:dyDescent="0.2">
      <c r="A110" s="239" t="s">
        <v>191</v>
      </c>
      <c r="B110" s="236" t="s">
        <v>171</v>
      </c>
      <c r="C110" s="235">
        <v>30</v>
      </c>
      <c r="D110" s="237">
        <v>0.27</v>
      </c>
      <c r="E110" s="237">
        <v>3</v>
      </c>
      <c r="F110" s="237">
        <v>1.3</v>
      </c>
      <c r="G110" s="237">
        <v>34.5</v>
      </c>
    </row>
    <row r="111" spans="1:7" x14ac:dyDescent="0.2">
      <c r="A111" s="252" t="s">
        <v>42</v>
      </c>
      <c r="B111" s="253" t="s">
        <v>223</v>
      </c>
      <c r="C111" s="235">
        <v>200</v>
      </c>
      <c r="D111" s="237">
        <v>1.1499999999999999</v>
      </c>
      <c r="E111" s="237"/>
      <c r="F111" s="237">
        <v>12.03</v>
      </c>
      <c r="G111" s="237">
        <v>55.4</v>
      </c>
    </row>
    <row r="112" spans="1:7" x14ac:dyDescent="0.2">
      <c r="A112" s="235"/>
      <c r="B112" s="242" t="s">
        <v>11</v>
      </c>
      <c r="C112" s="235">
        <v>20</v>
      </c>
      <c r="D112" s="237">
        <v>1.52</v>
      </c>
      <c r="E112" s="237">
        <v>0.16</v>
      </c>
      <c r="F112" s="237">
        <v>9.84</v>
      </c>
      <c r="G112" s="237">
        <v>49.17</v>
      </c>
    </row>
    <row r="113" spans="1:7" x14ac:dyDescent="0.2">
      <c r="A113" s="270" t="s">
        <v>252</v>
      </c>
      <c r="B113" s="271"/>
      <c r="C113" s="233">
        <f>SUM(C106:C112)</f>
        <v>755</v>
      </c>
      <c r="D113" s="237"/>
      <c r="E113" s="237"/>
      <c r="F113" s="237"/>
      <c r="G113" s="237"/>
    </row>
    <row r="114" spans="1:7" x14ac:dyDescent="0.2">
      <c r="A114" s="280" t="s">
        <v>267</v>
      </c>
      <c r="B114" s="281"/>
      <c r="C114" s="282"/>
      <c r="D114" s="232">
        <f>D115</f>
        <v>25.46</v>
      </c>
      <c r="E114" s="232">
        <f>E115</f>
        <v>34.449999999999996</v>
      </c>
      <c r="F114" s="232">
        <f>F115</f>
        <v>71.5</v>
      </c>
      <c r="G114" s="232">
        <f>G115</f>
        <v>709.11</v>
      </c>
    </row>
    <row r="115" spans="1:7" x14ac:dyDescent="0.2">
      <c r="A115" s="235"/>
      <c r="B115" s="246" t="s">
        <v>67</v>
      </c>
      <c r="C115" s="233"/>
      <c r="D115" s="232">
        <f>D116+D117+D118+D119+D120</f>
        <v>25.46</v>
      </c>
      <c r="E115" s="232">
        <f t="shared" ref="E115:G115" si="13">E116+E117+E118+E119+E120</f>
        <v>34.449999999999996</v>
      </c>
      <c r="F115" s="232">
        <f t="shared" si="13"/>
        <v>71.5</v>
      </c>
      <c r="G115" s="232">
        <f t="shared" si="13"/>
        <v>709.11</v>
      </c>
    </row>
    <row r="116" spans="1:7" x14ac:dyDescent="0.2">
      <c r="A116" s="235" t="s">
        <v>192</v>
      </c>
      <c r="B116" s="242" t="s">
        <v>137</v>
      </c>
      <c r="C116" s="254">
        <v>60</v>
      </c>
      <c r="D116" s="237">
        <v>0.94</v>
      </c>
      <c r="E116" s="237">
        <v>3.06</v>
      </c>
      <c r="F116" s="237">
        <v>5.66</v>
      </c>
      <c r="G116" s="237">
        <v>55.26</v>
      </c>
    </row>
    <row r="117" spans="1:7" x14ac:dyDescent="0.2">
      <c r="A117" s="235" t="s">
        <v>185</v>
      </c>
      <c r="B117" s="242" t="s">
        <v>174</v>
      </c>
      <c r="C117" s="235">
        <v>200</v>
      </c>
      <c r="D117" s="237">
        <v>2.57</v>
      </c>
      <c r="E117" s="237">
        <v>9.24</v>
      </c>
      <c r="F117" s="237">
        <v>14.04</v>
      </c>
      <c r="G117" s="237">
        <v>152.91999999999999</v>
      </c>
    </row>
    <row r="118" spans="1:7" ht="25.5" x14ac:dyDescent="0.2">
      <c r="A118" s="235" t="s">
        <v>294</v>
      </c>
      <c r="B118" s="242" t="s">
        <v>293</v>
      </c>
      <c r="C118" s="235">
        <v>200</v>
      </c>
      <c r="D118" s="237">
        <v>18.91</v>
      </c>
      <c r="E118" s="237">
        <v>21.83</v>
      </c>
      <c r="F118" s="237">
        <v>22.12</v>
      </c>
      <c r="G118" s="237">
        <v>360.59</v>
      </c>
    </row>
    <row r="119" spans="1:7" x14ac:dyDescent="0.2">
      <c r="A119" s="238" t="s">
        <v>182</v>
      </c>
      <c r="B119" s="242" t="s">
        <v>10</v>
      </c>
      <c r="C119" s="235">
        <v>200</v>
      </c>
      <c r="D119" s="237">
        <v>0</v>
      </c>
      <c r="E119" s="237">
        <v>0</v>
      </c>
      <c r="F119" s="237">
        <v>10</v>
      </c>
      <c r="G119" s="237">
        <v>42</v>
      </c>
    </row>
    <row r="120" spans="1:7" x14ac:dyDescent="0.2">
      <c r="A120" s="235"/>
      <c r="B120" s="255" t="s">
        <v>11</v>
      </c>
      <c r="C120" s="238">
        <v>40</v>
      </c>
      <c r="D120" s="241">
        <v>3.04</v>
      </c>
      <c r="E120" s="241">
        <v>0.32</v>
      </c>
      <c r="F120" s="241">
        <v>19.68</v>
      </c>
      <c r="G120" s="241">
        <v>98.34</v>
      </c>
    </row>
    <row r="121" spans="1:7" x14ac:dyDescent="0.2">
      <c r="A121" s="270" t="s">
        <v>252</v>
      </c>
      <c r="B121" s="271"/>
      <c r="C121" s="250">
        <f>SUM(C116:C120)</f>
        <v>700</v>
      </c>
      <c r="D121" s="237"/>
      <c r="E121" s="237"/>
      <c r="F121" s="237"/>
      <c r="G121" s="237"/>
    </row>
    <row r="122" spans="1:7" x14ac:dyDescent="0.2">
      <c r="A122" s="280" t="s">
        <v>278</v>
      </c>
      <c r="B122" s="281"/>
      <c r="C122" s="282"/>
      <c r="D122" s="232">
        <f>D123</f>
        <v>21.7</v>
      </c>
      <c r="E122" s="232">
        <f>E123</f>
        <v>38.42</v>
      </c>
      <c r="F122" s="232">
        <f>F123</f>
        <v>78.25</v>
      </c>
      <c r="G122" s="232">
        <f>G123</f>
        <v>763.96999999999991</v>
      </c>
    </row>
    <row r="123" spans="1:7" x14ac:dyDescent="0.2">
      <c r="A123" s="235"/>
      <c r="B123" s="246" t="s">
        <v>67</v>
      </c>
      <c r="C123" s="233"/>
      <c r="D123" s="232">
        <f>D124+D125+D126+D127+D128+D129</f>
        <v>21.7</v>
      </c>
      <c r="E123" s="232">
        <f t="shared" ref="E123:G123" si="14">E124+E125+E126+E127+E128+E129</f>
        <v>38.42</v>
      </c>
      <c r="F123" s="232">
        <f t="shared" si="14"/>
        <v>78.25</v>
      </c>
      <c r="G123" s="232">
        <f t="shared" si="14"/>
        <v>763.96999999999991</v>
      </c>
    </row>
    <row r="124" spans="1:7" x14ac:dyDescent="0.2">
      <c r="A124" s="235" t="s">
        <v>142</v>
      </c>
      <c r="B124" s="242" t="s">
        <v>143</v>
      </c>
      <c r="C124" s="249">
        <v>60</v>
      </c>
      <c r="D124" s="237">
        <v>0.9</v>
      </c>
      <c r="E124" s="237">
        <v>0.06</v>
      </c>
      <c r="F124" s="237">
        <v>5.28</v>
      </c>
      <c r="G124" s="237">
        <v>27</v>
      </c>
    </row>
    <row r="125" spans="1:7" ht="25.5" x14ac:dyDescent="0.2">
      <c r="A125" s="235" t="s">
        <v>130</v>
      </c>
      <c r="B125" s="242" t="s">
        <v>178</v>
      </c>
      <c r="C125" s="244">
        <v>205</v>
      </c>
      <c r="D125" s="237">
        <v>3.39</v>
      </c>
      <c r="E125" s="237">
        <f>10.16+12.36</f>
        <v>22.52</v>
      </c>
      <c r="F125" s="237">
        <f>4.87+8.96</f>
        <v>13.830000000000002</v>
      </c>
      <c r="G125" s="237">
        <v>275.04000000000002</v>
      </c>
    </row>
    <row r="126" spans="1:7" x14ac:dyDescent="0.2">
      <c r="A126" s="238" t="s">
        <v>271</v>
      </c>
      <c r="B126" s="236" t="s">
        <v>270</v>
      </c>
      <c r="C126" s="235">
        <v>105</v>
      </c>
      <c r="D126" s="237">
        <v>10.25</v>
      </c>
      <c r="E126" s="237">
        <v>12.84</v>
      </c>
      <c r="F126" s="237">
        <v>3.3</v>
      </c>
      <c r="G126" s="237">
        <v>169.76</v>
      </c>
    </row>
    <row r="127" spans="1:7" x14ac:dyDescent="0.2">
      <c r="A127" s="235" t="s">
        <v>33</v>
      </c>
      <c r="B127" s="242" t="s">
        <v>12</v>
      </c>
      <c r="C127" s="244">
        <v>150</v>
      </c>
      <c r="D127" s="237">
        <v>5.64</v>
      </c>
      <c r="E127" s="237">
        <v>2.84</v>
      </c>
      <c r="F127" s="237">
        <v>36</v>
      </c>
      <c r="G127" s="237">
        <v>201</v>
      </c>
    </row>
    <row r="128" spans="1:7" x14ac:dyDescent="0.2">
      <c r="A128" s="238" t="s">
        <v>182</v>
      </c>
      <c r="B128" s="242" t="s">
        <v>10</v>
      </c>
      <c r="C128" s="235">
        <v>200</v>
      </c>
      <c r="D128" s="237">
        <v>0</v>
      </c>
      <c r="E128" s="237">
        <v>0</v>
      </c>
      <c r="F128" s="237">
        <v>10</v>
      </c>
      <c r="G128" s="237">
        <v>42</v>
      </c>
    </row>
    <row r="129" spans="1:7" x14ac:dyDescent="0.2">
      <c r="A129" s="235"/>
      <c r="B129" s="242" t="s">
        <v>11</v>
      </c>
      <c r="C129" s="235">
        <v>20</v>
      </c>
      <c r="D129" s="237">
        <v>1.52</v>
      </c>
      <c r="E129" s="237">
        <v>0.16</v>
      </c>
      <c r="F129" s="237">
        <v>9.84</v>
      </c>
      <c r="G129" s="237">
        <v>49.17</v>
      </c>
    </row>
    <row r="130" spans="1:7" x14ac:dyDescent="0.2">
      <c r="A130" s="270" t="s">
        <v>252</v>
      </c>
      <c r="B130" s="271"/>
      <c r="C130" s="233">
        <f>SUM(C124:C129)</f>
        <v>740</v>
      </c>
      <c r="D130" s="237"/>
      <c r="E130" s="237"/>
      <c r="F130" s="237"/>
      <c r="G130" s="237"/>
    </row>
    <row r="131" spans="1:7" x14ac:dyDescent="0.2">
      <c r="A131" s="280" t="s">
        <v>279</v>
      </c>
      <c r="B131" s="281"/>
      <c r="C131" s="282"/>
      <c r="D131" s="232">
        <f>D132</f>
        <v>18.349999999999998</v>
      </c>
      <c r="E131" s="232">
        <f>E132</f>
        <v>33.159999999999997</v>
      </c>
      <c r="F131" s="232">
        <f>F132</f>
        <v>85.41</v>
      </c>
      <c r="G131" s="232">
        <f>G132</f>
        <v>734.65599999999995</v>
      </c>
    </row>
    <row r="132" spans="1:7" x14ac:dyDescent="0.2">
      <c r="A132" s="235"/>
      <c r="B132" s="246" t="s">
        <v>67</v>
      </c>
      <c r="C132" s="233"/>
      <c r="D132" s="232">
        <f>D133+D134+D135+D136+D137+D138</f>
        <v>18.349999999999998</v>
      </c>
      <c r="E132" s="232">
        <f t="shared" ref="E132:G132" si="15">E133+E134+E135+E136+E137+E138</f>
        <v>33.159999999999997</v>
      </c>
      <c r="F132" s="232">
        <f t="shared" si="15"/>
        <v>85.41</v>
      </c>
      <c r="G132" s="232">
        <f t="shared" si="15"/>
        <v>734.65599999999995</v>
      </c>
    </row>
    <row r="133" spans="1:7" x14ac:dyDescent="0.2">
      <c r="A133" s="235" t="s">
        <v>190</v>
      </c>
      <c r="B133" s="242" t="s">
        <v>152</v>
      </c>
      <c r="C133" s="249">
        <v>60</v>
      </c>
      <c r="D133" s="237">
        <v>0.88</v>
      </c>
      <c r="E133" s="237">
        <v>3.11</v>
      </c>
      <c r="F133" s="237">
        <v>5.64</v>
      </c>
      <c r="G133" s="237">
        <v>55.8</v>
      </c>
    </row>
    <row r="134" spans="1:7" x14ac:dyDescent="0.2">
      <c r="A134" s="235" t="s">
        <v>186</v>
      </c>
      <c r="B134" s="242" t="s">
        <v>173</v>
      </c>
      <c r="C134" s="235">
        <v>205</v>
      </c>
      <c r="D134" s="237">
        <v>3.51</v>
      </c>
      <c r="E134" s="237">
        <v>12.28</v>
      </c>
      <c r="F134" s="237">
        <v>11.17</v>
      </c>
      <c r="G134" s="237">
        <v>172.17599999999999</v>
      </c>
    </row>
    <row r="135" spans="1:7" x14ac:dyDescent="0.2">
      <c r="A135" s="238" t="s">
        <v>162</v>
      </c>
      <c r="B135" s="236" t="s">
        <v>163</v>
      </c>
      <c r="C135" s="244">
        <v>110</v>
      </c>
      <c r="D135" s="237">
        <v>9.15</v>
      </c>
      <c r="E135" s="237">
        <v>14.97</v>
      </c>
      <c r="F135" s="237">
        <v>10.6</v>
      </c>
      <c r="G135" s="237">
        <v>217.68</v>
      </c>
    </row>
    <row r="136" spans="1:7" x14ac:dyDescent="0.2">
      <c r="A136" s="238" t="s">
        <v>189</v>
      </c>
      <c r="B136" s="242" t="s">
        <v>159</v>
      </c>
      <c r="C136" s="235">
        <v>150</v>
      </c>
      <c r="D136" s="237">
        <v>3.81</v>
      </c>
      <c r="E136" s="237">
        <v>2.72</v>
      </c>
      <c r="F136" s="237">
        <v>40</v>
      </c>
      <c r="G136" s="237">
        <v>208.48</v>
      </c>
    </row>
    <row r="137" spans="1:7" x14ac:dyDescent="0.2">
      <c r="A137" s="238" t="s">
        <v>182</v>
      </c>
      <c r="B137" s="242" t="s">
        <v>10</v>
      </c>
      <c r="C137" s="239">
        <v>200</v>
      </c>
      <c r="D137" s="237">
        <v>0</v>
      </c>
      <c r="E137" s="237">
        <v>0</v>
      </c>
      <c r="F137" s="237">
        <v>10</v>
      </c>
      <c r="G137" s="237">
        <v>42</v>
      </c>
    </row>
    <row r="138" spans="1:7" x14ac:dyDescent="0.2">
      <c r="A138" s="235"/>
      <c r="B138" s="256" t="s">
        <v>37</v>
      </c>
      <c r="C138" s="235">
        <v>20</v>
      </c>
      <c r="D138" s="237">
        <v>1</v>
      </c>
      <c r="E138" s="237">
        <v>0.08</v>
      </c>
      <c r="F138" s="237">
        <v>8</v>
      </c>
      <c r="G138" s="237">
        <v>38.520000000000003</v>
      </c>
    </row>
    <row r="139" spans="1:7" x14ac:dyDescent="0.2">
      <c r="A139" s="270" t="s">
        <v>252</v>
      </c>
      <c r="B139" s="271"/>
      <c r="C139" s="245">
        <f>SUM(C133:C138)</f>
        <v>745</v>
      </c>
      <c r="D139" s="237"/>
      <c r="E139" s="237"/>
      <c r="F139" s="237"/>
      <c r="G139" s="237"/>
    </row>
    <row r="140" spans="1:7" x14ac:dyDescent="0.2">
      <c r="A140" s="280" t="s">
        <v>280</v>
      </c>
      <c r="B140" s="281"/>
      <c r="C140" s="282"/>
      <c r="D140" s="232">
        <f>D141</f>
        <v>24.799999999999997</v>
      </c>
      <c r="E140" s="232">
        <f>E141</f>
        <v>25.15</v>
      </c>
      <c r="F140" s="232">
        <f>F141</f>
        <v>90.78</v>
      </c>
      <c r="G140" s="232">
        <f>G141</f>
        <v>712.05000000000007</v>
      </c>
    </row>
    <row r="141" spans="1:7" x14ac:dyDescent="0.2">
      <c r="A141" s="238"/>
      <c r="B141" s="246" t="s">
        <v>67</v>
      </c>
      <c r="C141" s="240"/>
      <c r="D141" s="248">
        <f>D142+D143+D144+D145+D146</f>
        <v>24.799999999999997</v>
      </c>
      <c r="E141" s="248">
        <f t="shared" ref="E141:G141" si="16">E142+E143+E144+E145+E146</f>
        <v>25.15</v>
      </c>
      <c r="F141" s="248">
        <f t="shared" si="16"/>
        <v>90.78</v>
      </c>
      <c r="G141" s="248">
        <f t="shared" si="16"/>
        <v>712.05000000000007</v>
      </c>
    </row>
    <row r="142" spans="1:7" x14ac:dyDescent="0.2">
      <c r="A142" s="235" t="s">
        <v>192</v>
      </c>
      <c r="B142" s="242" t="s">
        <v>137</v>
      </c>
      <c r="C142" s="254">
        <v>60</v>
      </c>
      <c r="D142" s="237">
        <v>0.94</v>
      </c>
      <c r="E142" s="237">
        <v>3.06</v>
      </c>
      <c r="F142" s="237">
        <v>5.66</v>
      </c>
      <c r="G142" s="237">
        <v>55.26</v>
      </c>
    </row>
    <row r="143" spans="1:7" x14ac:dyDescent="0.2">
      <c r="A143" s="235" t="s">
        <v>184</v>
      </c>
      <c r="B143" s="242" t="s">
        <v>138</v>
      </c>
      <c r="C143" s="235">
        <v>205</v>
      </c>
      <c r="D143" s="237">
        <v>3.09</v>
      </c>
      <c r="E143" s="237">
        <v>4.6100000000000003</v>
      </c>
      <c r="F143" s="237">
        <v>12.54</v>
      </c>
      <c r="G143" s="237">
        <v>107.36</v>
      </c>
    </row>
    <row r="144" spans="1:7" x14ac:dyDescent="0.2">
      <c r="A144" s="238" t="s">
        <v>188</v>
      </c>
      <c r="B144" s="242" t="s">
        <v>139</v>
      </c>
      <c r="C144" s="235">
        <v>200</v>
      </c>
      <c r="D144" s="237">
        <v>17.73</v>
      </c>
      <c r="E144" s="237">
        <v>17.16</v>
      </c>
      <c r="F144" s="237">
        <v>42.9</v>
      </c>
      <c r="G144" s="237">
        <v>409.09</v>
      </c>
    </row>
    <row r="145" spans="1:7" x14ac:dyDescent="0.2">
      <c r="A145" s="238" t="s">
        <v>182</v>
      </c>
      <c r="B145" s="242" t="s">
        <v>10</v>
      </c>
      <c r="C145" s="239">
        <v>200</v>
      </c>
      <c r="D145" s="237">
        <v>0</v>
      </c>
      <c r="E145" s="237">
        <v>0</v>
      </c>
      <c r="F145" s="237">
        <v>10</v>
      </c>
      <c r="G145" s="237">
        <v>42</v>
      </c>
    </row>
    <row r="146" spans="1:7" x14ac:dyDescent="0.2">
      <c r="A146" s="235"/>
      <c r="B146" s="255" t="s">
        <v>11</v>
      </c>
      <c r="C146" s="238">
        <v>40</v>
      </c>
      <c r="D146" s="241">
        <v>3.04</v>
      </c>
      <c r="E146" s="241">
        <v>0.32</v>
      </c>
      <c r="F146" s="241">
        <v>19.68</v>
      </c>
      <c r="G146" s="241">
        <v>98.34</v>
      </c>
    </row>
    <row r="147" spans="1:7" x14ac:dyDescent="0.2">
      <c r="A147" s="270" t="s">
        <v>252</v>
      </c>
      <c r="B147" s="271"/>
      <c r="C147" s="233">
        <f>SUM(C142:C146)</f>
        <v>705</v>
      </c>
      <c r="D147" s="237"/>
      <c r="E147" s="237"/>
      <c r="F147" s="237"/>
      <c r="G147" s="237"/>
    </row>
    <row r="148" spans="1:7" x14ac:dyDescent="0.2">
      <c r="A148" s="280" t="s">
        <v>281</v>
      </c>
      <c r="B148" s="281"/>
      <c r="C148" s="282"/>
      <c r="D148" s="232">
        <f>D149</f>
        <v>30.749999999999996</v>
      </c>
      <c r="E148" s="232">
        <f t="shared" ref="E148:G148" si="17">E149</f>
        <v>29.680000000000003</v>
      </c>
      <c r="F148" s="232">
        <f t="shared" si="17"/>
        <v>105.05000000000001</v>
      </c>
      <c r="G148" s="232">
        <f t="shared" si="17"/>
        <v>834.47</v>
      </c>
    </row>
    <row r="149" spans="1:7" x14ac:dyDescent="0.2">
      <c r="A149" s="235"/>
      <c r="B149" s="246" t="s">
        <v>67</v>
      </c>
      <c r="C149" s="247"/>
      <c r="D149" s="248">
        <f>D150+D151+D152+D153+D154+D155</f>
        <v>30.749999999999996</v>
      </c>
      <c r="E149" s="248">
        <f t="shared" ref="E149:G149" si="18">E150+E151+E152+E153+E154+E155</f>
        <v>29.680000000000003</v>
      </c>
      <c r="F149" s="248">
        <f t="shared" si="18"/>
        <v>105.05000000000001</v>
      </c>
      <c r="G149" s="248">
        <f t="shared" si="18"/>
        <v>834.47</v>
      </c>
    </row>
    <row r="150" spans="1:7" x14ac:dyDescent="0.2">
      <c r="A150" s="239" t="s">
        <v>147</v>
      </c>
      <c r="B150" s="242" t="s">
        <v>148</v>
      </c>
      <c r="C150" s="235">
        <v>60</v>
      </c>
      <c r="D150" s="237">
        <v>0.74</v>
      </c>
      <c r="E150" s="237">
        <v>0.06</v>
      </c>
      <c r="F150" s="237">
        <v>16.920000000000002</v>
      </c>
      <c r="G150" s="237">
        <v>74.709999999999994</v>
      </c>
    </row>
    <row r="151" spans="1:7" ht="25.5" x14ac:dyDescent="0.2">
      <c r="A151" s="238" t="s">
        <v>101</v>
      </c>
      <c r="B151" s="242" t="s">
        <v>172</v>
      </c>
      <c r="C151" s="235">
        <v>205</v>
      </c>
      <c r="D151" s="237">
        <v>5.81</v>
      </c>
      <c r="E151" s="237">
        <v>11.82</v>
      </c>
      <c r="F151" s="237">
        <v>15.48</v>
      </c>
      <c r="G151" s="237">
        <v>196</v>
      </c>
    </row>
    <row r="152" spans="1:7" x14ac:dyDescent="0.2">
      <c r="A152" s="238" t="s">
        <v>275</v>
      </c>
      <c r="B152" s="236" t="s">
        <v>274</v>
      </c>
      <c r="C152" s="235">
        <v>110</v>
      </c>
      <c r="D152" s="237">
        <v>14.37</v>
      </c>
      <c r="E152" s="237">
        <v>14.64</v>
      </c>
      <c r="F152" s="237">
        <v>4.9400000000000004</v>
      </c>
      <c r="G152" s="237">
        <v>209.02</v>
      </c>
    </row>
    <row r="153" spans="1:7" x14ac:dyDescent="0.2">
      <c r="A153" s="235" t="s">
        <v>33</v>
      </c>
      <c r="B153" s="242" t="s">
        <v>12</v>
      </c>
      <c r="C153" s="244">
        <v>150</v>
      </c>
      <c r="D153" s="237">
        <v>5.64</v>
      </c>
      <c r="E153" s="237">
        <v>2.84</v>
      </c>
      <c r="F153" s="237">
        <v>36</v>
      </c>
      <c r="G153" s="237">
        <v>201</v>
      </c>
    </row>
    <row r="154" spans="1:7" x14ac:dyDescent="0.2">
      <c r="A154" s="252" t="s">
        <v>42</v>
      </c>
      <c r="B154" s="253" t="s">
        <v>223</v>
      </c>
      <c r="C154" s="235">
        <v>200</v>
      </c>
      <c r="D154" s="237">
        <v>1.1499999999999999</v>
      </c>
      <c r="E154" s="237"/>
      <c r="F154" s="237">
        <v>12.03</v>
      </c>
      <c r="G154" s="237">
        <v>55.4</v>
      </c>
    </row>
    <row r="155" spans="1:7" x14ac:dyDescent="0.2">
      <c r="A155" s="239"/>
      <c r="B155" s="256" t="s">
        <v>11</v>
      </c>
      <c r="C155" s="244">
        <v>40</v>
      </c>
      <c r="D155" s="237">
        <v>3.04</v>
      </c>
      <c r="E155" s="237">
        <v>0.32</v>
      </c>
      <c r="F155" s="237">
        <v>19.68</v>
      </c>
      <c r="G155" s="237">
        <v>98.34</v>
      </c>
    </row>
    <row r="156" spans="1:7" x14ac:dyDescent="0.2">
      <c r="A156" s="270" t="s">
        <v>252</v>
      </c>
      <c r="B156" s="271"/>
      <c r="C156" s="245">
        <f>SUM(C150:C155)</f>
        <v>765</v>
      </c>
      <c r="D156" s="237"/>
      <c r="E156" s="237"/>
      <c r="F156" s="237"/>
      <c r="G156" s="237"/>
    </row>
    <row r="157" spans="1:7" x14ac:dyDescent="0.2">
      <c r="A157" s="280" t="s">
        <v>282</v>
      </c>
      <c r="B157" s="281"/>
      <c r="C157" s="282"/>
      <c r="D157" s="232">
        <f>D158</f>
        <v>27.68</v>
      </c>
      <c r="E157" s="232">
        <f>E158</f>
        <v>33.229999999999997</v>
      </c>
      <c r="F157" s="232">
        <f>F158</f>
        <v>71.45</v>
      </c>
      <c r="G157" s="232">
        <f>G158</f>
        <v>706.56000000000006</v>
      </c>
    </row>
    <row r="158" spans="1:7" x14ac:dyDescent="0.2">
      <c r="A158" s="239"/>
      <c r="B158" s="246" t="s">
        <v>67</v>
      </c>
      <c r="C158" s="257"/>
      <c r="D158" s="232">
        <f>D159+D160+D161+D162+D163+D164</f>
        <v>27.68</v>
      </c>
      <c r="E158" s="232">
        <f t="shared" ref="E158:G158" si="19">E159+E160+E161+E162+E163+E164</f>
        <v>33.229999999999997</v>
      </c>
      <c r="F158" s="232">
        <f t="shared" si="19"/>
        <v>71.45</v>
      </c>
      <c r="G158" s="232">
        <f t="shared" si="19"/>
        <v>706.56000000000006</v>
      </c>
    </row>
    <row r="159" spans="1:7" x14ac:dyDescent="0.2">
      <c r="A159" s="235" t="s">
        <v>68</v>
      </c>
      <c r="B159" s="242" t="s">
        <v>69</v>
      </c>
      <c r="C159" s="244">
        <v>60</v>
      </c>
      <c r="D159" s="251">
        <v>0.84</v>
      </c>
      <c r="E159" s="237">
        <v>3.06</v>
      </c>
      <c r="F159" s="237">
        <v>6.83</v>
      </c>
      <c r="G159" s="237">
        <v>59.75</v>
      </c>
    </row>
    <row r="160" spans="1:7" ht="25.5" x14ac:dyDescent="0.2">
      <c r="A160" s="235" t="s">
        <v>296</v>
      </c>
      <c r="B160" s="242" t="s">
        <v>295</v>
      </c>
      <c r="C160" s="244">
        <v>205</v>
      </c>
      <c r="D160" s="237">
        <v>12</v>
      </c>
      <c r="E160" s="237">
        <v>17</v>
      </c>
      <c r="F160" s="237">
        <v>12.27</v>
      </c>
      <c r="G160" s="237">
        <v>250.08</v>
      </c>
    </row>
    <row r="161" spans="1:7" x14ac:dyDescent="0.2">
      <c r="A161" s="235" t="s">
        <v>277</v>
      </c>
      <c r="B161" s="236" t="s">
        <v>276</v>
      </c>
      <c r="C161" s="235">
        <v>90</v>
      </c>
      <c r="D161" s="237">
        <v>10.18</v>
      </c>
      <c r="E161" s="237">
        <v>9.74</v>
      </c>
      <c r="F161" s="237">
        <v>10.17</v>
      </c>
      <c r="G161" s="237">
        <v>169.06</v>
      </c>
    </row>
    <row r="162" spans="1:7" x14ac:dyDescent="0.2">
      <c r="A162" s="235" t="s">
        <v>166</v>
      </c>
      <c r="B162" s="236" t="s">
        <v>167</v>
      </c>
      <c r="C162" s="235">
        <v>150</v>
      </c>
      <c r="D162" s="237">
        <v>3.14</v>
      </c>
      <c r="E162" s="237">
        <v>3.27</v>
      </c>
      <c r="F162" s="237">
        <v>22.34</v>
      </c>
      <c r="G162" s="237">
        <v>136.5</v>
      </c>
    </row>
    <row r="163" spans="1:7" x14ac:dyDescent="0.2">
      <c r="A163" s="238" t="s">
        <v>182</v>
      </c>
      <c r="B163" s="242" t="s">
        <v>10</v>
      </c>
      <c r="C163" s="239">
        <v>200</v>
      </c>
      <c r="D163" s="237">
        <v>0</v>
      </c>
      <c r="E163" s="237">
        <v>0</v>
      </c>
      <c r="F163" s="237">
        <v>10</v>
      </c>
      <c r="G163" s="237">
        <v>42</v>
      </c>
    </row>
    <row r="164" spans="1:7" x14ac:dyDescent="0.2">
      <c r="A164" s="235"/>
      <c r="B164" s="242" t="s">
        <v>11</v>
      </c>
      <c r="C164" s="235">
        <v>20</v>
      </c>
      <c r="D164" s="237">
        <v>1.52</v>
      </c>
      <c r="E164" s="237">
        <v>0.16</v>
      </c>
      <c r="F164" s="237">
        <v>9.84</v>
      </c>
      <c r="G164" s="237">
        <v>49.17</v>
      </c>
    </row>
    <row r="165" spans="1:7" x14ac:dyDescent="0.2">
      <c r="A165" s="270" t="s">
        <v>252</v>
      </c>
      <c r="B165" s="271"/>
      <c r="C165" s="245">
        <f>SUM(C159:C164)</f>
        <v>725</v>
      </c>
      <c r="D165" s="237"/>
      <c r="E165" s="237"/>
      <c r="F165" s="237"/>
      <c r="G165" s="237"/>
    </row>
    <row r="166" spans="1:7" x14ac:dyDescent="0.2">
      <c r="A166" s="280" t="s">
        <v>285</v>
      </c>
      <c r="B166" s="281"/>
      <c r="C166" s="282"/>
      <c r="D166" s="232">
        <f>D167</f>
        <v>23.42</v>
      </c>
      <c r="E166" s="232">
        <f>E167</f>
        <v>14.38</v>
      </c>
      <c r="F166" s="232">
        <f>F167</f>
        <v>94.26</v>
      </c>
      <c r="G166" s="232">
        <f>G167</f>
        <v>619.98599999999999</v>
      </c>
    </row>
    <row r="167" spans="1:7" x14ac:dyDescent="0.2">
      <c r="A167" s="235"/>
      <c r="B167" s="246" t="s">
        <v>67</v>
      </c>
      <c r="C167" s="233"/>
      <c r="D167" s="232">
        <f>D168+D169+D170+D171+D172+D173</f>
        <v>23.42</v>
      </c>
      <c r="E167" s="232">
        <f t="shared" ref="E167:G167" si="20">E168+E169+E170+E171+E172+E173</f>
        <v>14.38</v>
      </c>
      <c r="F167" s="232">
        <f t="shared" si="20"/>
        <v>94.26</v>
      </c>
      <c r="G167" s="232">
        <f t="shared" si="20"/>
        <v>619.98599999999999</v>
      </c>
    </row>
    <row r="168" spans="1:7" x14ac:dyDescent="0.2">
      <c r="A168" s="235" t="s">
        <v>190</v>
      </c>
      <c r="B168" s="242" t="s">
        <v>152</v>
      </c>
      <c r="C168" s="249">
        <v>60</v>
      </c>
      <c r="D168" s="237">
        <v>0.88</v>
      </c>
      <c r="E168" s="237">
        <v>3.11</v>
      </c>
      <c r="F168" s="237">
        <v>5.64</v>
      </c>
      <c r="G168" s="237">
        <v>55.8</v>
      </c>
    </row>
    <row r="169" spans="1:7" ht="25.5" x14ac:dyDescent="0.2">
      <c r="A169" s="235" t="s">
        <v>124</v>
      </c>
      <c r="B169" s="242" t="s">
        <v>176</v>
      </c>
      <c r="C169" s="235">
        <v>200</v>
      </c>
      <c r="D169" s="237">
        <v>3.17</v>
      </c>
      <c r="E169" s="237">
        <v>3.23</v>
      </c>
      <c r="F169" s="237">
        <v>16.72</v>
      </c>
      <c r="G169" s="237">
        <v>113</v>
      </c>
    </row>
    <row r="170" spans="1:7" x14ac:dyDescent="0.2">
      <c r="A170" s="235" t="s">
        <v>284</v>
      </c>
      <c r="B170" s="236" t="s">
        <v>283</v>
      </c>
      <c r="C170" s="235">
        <v>90</v>
      </c>
      <c r="D170" s="237">
        <v>14.55</v>
      </c>
      <c r="E170" s="237">
        <v>5.24</v>
      </c>
      <c r="F170" s="237">
        <v>8.2799999999999994</v>
      </c>
      <c r="G170" s="237">
        <v>138.54</v>
      </c>
    </row>
    <row r="171" spans="1:7" x14ac:dyDescent="0.2">
      <c r="A171" s="238" t="s">
        <v>189</v>
      </c>
      <c r="B171" s="242" t="s">
        <v>159</v>
      </c>
      <c r="C171" s="235">
        <v>150</v>
      </c>
      <c r="D171" s="237">
        <v>3.81</v>
      </c>
      <c r="E171" s="237">
        <v>2.72</v>
      </c>
      <c r="F171" s="237">
        <v>40</v>
      </c>
      <c r="G171" s="237">
        <v>208.48</v>
      </c>
    </row>
    <row r="172" spans="1:7" x14ac:dyDescent="0.2">
      <c r="A172" s="235" t="s">
        <v>231</v>
      </c>
      <c r="B172" s="242" t="s">
        <v>160</v>
      </c>
      <c r="C172" s="244">
        <v>200</v>
      </c>
      <c r="D172" s="237">
        <v>0.01</v>
      </c>
      <c r="E172" s="237"/>
      <c r="F172" s="237">
        <v>15.62</v>
      </c>
      <c r="G172" s="237">
        <v>65.646000000000001</v>
      </c>
    </row>
    <row r="173" spans="1:7" x14ac:dyDescent="0.2">
      <c r="A173" s="239"/>
      <c r="B173" s="256" t="s">
        <v>37</v>
      </c>
      <c r="C173" s="235">
        <v>20</v>
      </c>
      <c r="D173" s="237">
        <v>1</v>
      </c>
      <c r="E173" s="237">
        <v>0.08</v>
      </c>
      <c r="F173" s="237">
        <v>8</v>
      </c>
      <c r="G173" s="237">
        <v>38.520000000000003</v>
      </c>
    </row>
    <row r="174" spans="1:7" x14ac:dyDescent="0.2">
      <c r="A174" s="270" t="s">
        <v>252</v>
      </c>
      <c r="B174" s="271"/>
      <c r="C174" s="250">
        <f>SUM(C168:C173)</f>
        <v>720</v>
      </c>
      <c r="D174" s="237"/>
      <c r="E174" s="237"/>
      <c r="F174" s="237"/>
      <c r="G174" s="237"/>
    </row>
    <row r="175" spans="1:7" x14ac:dyDescent="0.2">
      <c r="A175" s="280" t="s">
        <v>286</v>
      </c>
      <c r="B175" s="281"/>
      <c r="C175" s="282"/>
      <c r="D175" s="232">
        <f>D176</f>
        <v>22.65</v>
      </c>
      <c r="E175" s="232">
        <f t="shared" ref="E175:G175" si="21">E176</f>
        <v>32.39</v>
      </c>
      <c r="F175" s="232">
        <f t="shared" si="21"/>
        <v>53.58</v>
      </c>
      <c r="G175" s="232">
        <f t="shared" si="21"/>
        <v>611.73</v>
      </c>
    </row>
    <row r="176" spans="1:7" x14ac:dyDescent="0.2">
      <c r="A176" s="235"/>
      <c r="B176" s="246" t="s">
        <v>67</v>
      </c>
      <c r="C176" s="233"/>
      <c r="D176" s="232">
        <f>D177+D178+D179+D180+D181</f>
        <v>22.65</v>
      </c>
      <c r="E176" s="232">
        <f t="shared" ref="E176:G176" si="22">E177+E178+E179+E180+E181</f>
        <v>32.39</v>
      </c>
      <c r="F176" s="232">
        <f t="shared" si="22"/>
        <v>53.58</v>
      </c>
      <c r="G176" s="232">
        <f t="shared" si="22"/>
        <v>611.73</v>
      </c>
    </row>
    <row r="177" spans="1:7" x14ac:dyDescent="0.2">
      <c r="A177" s="235" t="s">
        <v>292</v>
      </c>
      <c r="B177" s="236" t="s">
        <v>291</v>
      </c>
      <c r="C177" s="235">
        <v>60</v>
      </c>
      <c r="D177" s="251">
        <v>0.48</v>
      </c>
      <c r="E177" s="237">
        <v>0</v>
      </c>
      <c r="F177" s="237">
        <v>1.02</v>
      </c>
      <c r="G177" s="237">
        <v>6</v>
      </c>
    </row>
    <row r="178" spans="1:7" x14ac:dyDescent="0.2">
      <c r="A178" s="238" t="s">
        <v>187</v>
      </c>
      <c r="B178" s="242" t="s">
        <v>177</v>
      </c>
      <c r="C178" s="244">
        <v>205</v>
      </c>
      <c r="D178" s="237">
        <v>2.65</v>
      </c>
      <c r="E178" s="237">
        <v>6.31</v>
      </c>
      <c r="F178" s="237">
        <v>12.49</v>
      </c>
      <c r="G178" s="237">
        <v>120.39</v>
      </c>
    </row>
    <row r="179" spans="1:7" x14ac:dyDescent="0.2">
      <c r="A179" s="235" t="s">
        <v>234</v>
      </c>
      <c r="B179" s="242" t="s">
        <v>157</v>
      </c>
      <c r="C179" s="235">
        <v>200</v>
      </c>
      <c r="D179" s="237">
        <v>16.48</v>
      </c>
      <c r="E179" s="237">
        <v>25.76</v>
      </c>
      <c r="F179" s="237">
        <v>10.39</v>
      </c>
      <c r="G179" s="237">
        <v>345</v>
      </c>
    </row>
    <row r="180" spans="1:7" x14ac:dyDescent="0.2">
      <c r="A180" s="238" t="s">
        <v>182</v>
      </c>
      <c r="B180" s="242" t="s">
        <v>10</v>
      </c>
      <c r="C180" s="235">
        <v>200</v>
      </c>
      <c r="D180" s="237">
        <v>0</v>
      </c>
      <c r="E180" s="237">
        <v>0</v>
      </c>
      <c r="F180" s="237">
        <v>10</v>
      </c>
      <c r="G180" s="237">
        <v>42</v>
      </c>
    </row>
    <row r="181" spans="1:7" x14ac:dyDescent="0.2">
      <c r="A181" s="239"/>
      <c r="B181" s="256" t="s">
        <v>11</v>
      </c>
      <c r="C181" s="244">
        <v>40</v>
      </c>
      <c r="D181" s="237">
        <v>3.04</v>
      </c>
      <c r="E181" s="237">
        <v>0.32</v>
      </c>
      <c r="F181" s="237">
        <v>19.68</v>
      </c>
      <c r="G181" s="237">
        <v>98.34</v>
      </c>
    </row>
    <row r="182" spans="1:7" x14ac:dyDescent="0.2">
      <c r="A182" s="270" t="s">
        <v>252</v>
      </c>
      <c r="B182" s="271"/>
      <c r="C182" s="233">
        <f>SUM(C177:C181)</f>
        <v>705</v>
      </c>
      <c r="D182" s="235"/>
      <c r="E182" s="235"/>
      <c r="F182" s="235"/>
      <c r="G182" s="235"/>
    </row>
  </sheetData>
  <mergeCells count="47">
    <mergeCell ref="A165:B165"/>
    <mergeCell ref="A166:C166"/>
    <mergeCell ref="A174:B174"/>
    <mergeCell ref="A175:C175"/>
    <mergeCell ref="A182:B182"/>
    <mergeCell ref="A140:C140"/>
    <mergeCell ref="A147:B147"/>
    <mergeCell ref="A148:C148"/>
    <mergeCell ref="A156:B156"/>
    <mergeCell ref="A157:C157"/>
    <mergeCell ref="A121:B121"/>
    <mergeCell ref="A122:C122"/>
    <mergeCell ref="A130:B130"/>
    <mergeCell ref="A131:C131"/>
    <mergeCell ref="A139:B139"/>
    <mergeCell ref="A95:C95"/>
    <mergeCell ref="A103:B103"/>
    <mergeCell ref="A104:C104"/>
    <mergeCell ref="A113:B113"/>
    <mergeCell ref="A114:C114"/>
    <mergeCell ref="A8:C8"/>
    <mergeCell ref="A16:C16"/>
    <mergeCell ref="A25:C25"/>
    <mergeCell ref="A34:C34"/>
    <mergeCell ref="A42:C42"/>
    <mergeCell ref="D5:F5"/>
    <mergeCell ref="G5:G6"/>
    <mergeCell ref="A1:G2"/>
    <mergeCell ref="A5:A6"/>
    <mergeCell ref="B5:B6"/>
    <mergeCell ref="C5:C6"/>
    <mergeCell ref="A3:G4"/>
    <mergeCell ref="A94:B94"/>
    <mergeCell ref="A68:C68"/>
    <mergeCell ref="A77:C77"/>
    <mergeCell ref="A86:C86"/>
    <mergeCell ref="A15:B15"/>
    <mergeCell ref="A24:B24"/>
    <mergeCell ref="A33:B33"/>
    <mergeCell ref="A41:B41"/>
    <mergeCell ref="A50:B50"/>
    <mergeCell ref="A58:B58"/>
    <mergeCell ref="A67:B67"/>
    <mergeCell ref="A76:B76"/>
    <mergeCell ref="A85:B85"/>
    <mergeCell ref="A51:C51"/>
    <mergeCell ref="A59:C59"/>
  </mergeCells>
  <pageMargins left="0.75" right="0.75" top="1" bottom="1" header="0.5" footer="0.5"/>
  <pageSetup paperSize="9" scale="9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A160"/>
  <sheetViews>
    <sheetView topLeftCell="A122" zoomScale="98" zoomScaleNormal="98" workbookViewId="0">
      <selection sqref="A1:G160"/>
    </sheetView>
  </sheetViews>
  <sheetFormatPr defaultRowHeight="12.75" x14ac:dyDescent="0.2"/>
  <cols>
    <col min="1" max="1" width="11" style="197" customWidth="1"/>
    <col min="2" max="2" width="36.140625" style="212" customWidth="1"/>
    <col min="3" max="3" width="10.140625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1.5703125" style="197" customWidth="1"/>
    <col min="8" max="16384" width="9.140625" style="185"/>
  </cols>
  <sheetData>
    <row r="1" spans="1:7" x14ac:dyDescent="0.2">
      <c r="A1" s="267" t="s">
        <v>257</v>
      </c>
      <c r="B1" s="267"/>
      <c r="C1" s="267"/>
      <c r="D1" s="267"/>
      <c r="E1" s="267"/>
      <c r="F1" s="267"/>
      <c r="G1" s="267"/>
    </row>
    <row r="2" spans="1:7" x14ac:dyDescent="0.2">
      <c r="A2" s="267"/>
      <c r="B2" s="267"/>
      <c r="C2" s="267"/>
      <c r="D2" s="267"/>
      <c r="E2" s="267"/>
      <c r="F2" s="267"/>
      <c r="G2" s="267"/>
    </row>
    <row r="3" spans="1:7" ht="18.75" customHeight="1" x14ac:dyDescent="0.2">
      <c r="A3" s="264" t="s">
        <v>258</v>
      </c>
      <c r="B3" s="264"/>
      <c r="C3" s="264"/>
      <c r="D3" s="264"/>
      <c r="E3" s="264"/>
      <c r="F3" s="264"/>
      <c r="G3" s="264"/>
    </row>
    <row r="4" spans="1:7" ht="154.5" customHeight="1" x14ac:dyDescent="0.2">
      <c r="A4" s="265"/>
      <c r="B4" s="265"/>
      <c r="C4" s="265"/>
      <c r="D4" s="265"/>
      <c r="E4" s="265"/>
      <c r="F4" s="265"/>
      <c r="G4" s="265"/>
    </row>
    <row r="5" spans="1:7" ht="33.75" customHeight="1" x14ac:dyDescent="0.2">
      <c r="A5" s="268" t="s">
        <v>239</v>
      </c>
      <c r="B5" s="268" t="s">
        <v>240</v>
      </c>
      <c r="C5" s="268" t="s">
        <v>241</v>
      </c>
      <c r="D5" s="268" t="s">
        <v>242</v>
      </c>
      <c r="E5" s="268"/>
      <c r="F5" s="268"/>
      <c r="G5" s="268" t="s">
        <v>23</v>
      </c>
    </row>
    <row r="6" spans="1:7" ht="29.25" customHeight="1" x14ac:dyDescent="0.2">
      <c r="A6" s="268"/>
      <c r="B6" s="268"/>
      <c r="C6" s="268"/>
      <c r="D6" s="187" t="s">
        <v>17</v>
      </c>
      <c r="E6" s="187" t="s">
        <v>19</v>
      </c>
      <c r="F6" s="187" t="s">
        <v>21</v>
      </c>
      <c r="G6" s="26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66" t="s">
        <v>243</v>
      </c>
      <c r="B8" s="266"/>
      <c r="C8" s="266"/>
      <c r="D8" s="186">
        <f>D9</f>
        <v>18.112500000000001</v>
      </c>
      <c r="E8" s="186">
        <f>E9</f>
        <v>22.482500000000002</v>
      </c>
      <c r="F8" s="186">
        <f>F9</f>
        <v>106.66750000000002</v>
      </c>
      <c r="G8" s="186">
        <f>G9</f>
        <v>726.65</v>
      </c>
    </row>
    <row r="9" spans="1:7" x14ac:dyDescent="0.2">
      <c r="A9" s="187"/>
      <c r="B9" s="188" t="s">
        <v>66</v>
      </c>
      <c r="C9" s="187"/>
      <c r="D9" s="186">
        <f>D10+D11+D12+D13+D14+D15</f>
        <v>18.112500000000001</v>
      </c>
      <c r="E9" s="186">
        <f>E10+E11+E12+E13+E14+E15</f>
        <v>22.482500000000002</v>
      </c>
      <c r="F9" s="186">
        <f>F10+F11+F12+F13+F14+F15</f>
        <v>106.66750000000002</v>
      </c>
      <c r="G9" s="186">
        <f>G10+G11+G12+G13+G14+G15</f>
        <v>726.65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203</v>
      </c>
      <c r="C12" s="189">
        <v>255</v>
      </c>
      <c r="D12" s="190">
        <f>6.81*1.25</f>
        <v>8.5124999999999993</v>
      </c>
      <c r="E12" s="190">
        <f>10.45*1.25</f>
        <v>13.0625</v>
      </c>
      <c r="F12" s="190">
        <f>29.51*1.25</f>
        <v>36.887500000000003</v>
      </c>
      <c r="G12" s="190">
        <f>246.6*1.25</f>
        <v>308.25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40</v>
      </c>
      <c r="D15" s="190">
        <v>3.04</v>
      </c>
      <c r="E15" s="190">
        <v>0.32</v>
      </c>
      <c r="F15" s="190">
        <v>19.68</v>
      </c>
      <c r="G15" s="190">
        <v>98.34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83" t="s">
        <v>252</v>
      </c>
      <c r="B18" s="283"/>
      <c r="C18" s="207">
        <f>SUM(C10:C17)</f>
        <v>550</v>
      </c>
      <c r="D18" s="192"/>
      <c r="E18" s="192"/>
      <c r="F18" s="192"/>
      <c r="G18" s="192"/>
    </row>
    <row r="19" spans="1:7" ht="27.95" customHeight="1" x14ac:dyDescent="0.2">
      <c r="A19" s="266" t="s">
        <v>244</v>
      </c>
      <c r="B19" s="266"/>
      <c r="C19" s="266"/>
      <c r="D19" s="186">
        <f>D20</f>
        <v>13.695799999999998</v>
      </c>
      <c r="E19" s="186">
        <f>E20</f>
        <v>19.484000000000002</v>
      </c>
      <c r="F19" s="186">
        <f>F20</f>
        <v>78.296700000000001</v>
      </c>
      <c r="G19" s="186">
        <f>G20</f>
        <v>561.83000000000004</v>
      </c>
    </row>
    <row r="20" spans="1:7" x14ac:dyDescent="0.2">
      <c r="A20" s="187"/>
      <c r="B20" s="188" t="s">
        <v>66</v>
      </c>
      <c r="C20" s="187"/>
      <c r="D20" s="186">
        <f>D21+D22+D23+D24</f>
        <v>13.695799999999998</v>
      </c>
      <c r="E20" s="186">
        <f>E21+E22+E23+E24</f>
        <v>19.484000000000002</v>
      </c>
      <c r="F20" s="186">
        <f>F21+F22+F23+F24</f>
        <v>78.296700000000001</v>
      </c>
      <c r="G20" s="186">
        <f>G21+G22+G23+G24</f>
        <v>561.83000000000004</v>
      </c>
    </row>
    <row r="21" spans="1:7" x14ac:dyDescent="0.2">
      <c r="A21" s="189" t="s">
        <v>226</v>
      </c>
      <c r="B21" s="182" t="s">
        <v>140</v>
      </c>
      <c r="C21" s="189">
        <v>115</v>
      </c>
      <c r="D21" s="190">
        <v>6.32</v>
      </c>
      <c r="E21" s="190">
        <v>8.7899999999999991</v>
      </c>
      <c r="F21" s="190">
        <v>19.37</v>
      </c>
      <c r="G21" s="190">
        <v>187.01</v>
      </c>
    </row>
    <row r="22" spans="1:7" x14ac:dyDescent="0.2">
      <c r="A22" s="189" t="s">
        <v>34</v>
      </c>
      <c r="B22" s="182" t="s">
        <v>32</v>
      </c>
      <c r="C22" s="189">
        <v>200</v>
      </c>
      <c r="D22" s="190">
        <f>3.26*1.33</f>
        <v>4.3357999999999999</v>
      </c>
      <c r="E22" s="190">
        <f>7.8*1.33</f>
        <v>10.374000000000001</v>
      </c>
      <c r="F22" s="190">
        <f>21.99*1.33</f>
        <v>29.246700000000001</v>
      </c>
      <c r="G22" s="190">
        <v>234.48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40</v>
      </c>
      <c r="D24" s="190">
        <v>3.04</v>
      </c>
      <c r="E24" s="190">
        <v>0.32</v>
      </c>
      <c r="F24" s="190">
        <v>19.68</v>
      </c>
      <c r="G24" s="190">
        <v>98.34</v>
      </c>
    </row>
    <row r="25" spans="1:7" x14ac:dyDescent="0.2">
      <c r="A25" s="283" t="s">
        <v>252</v>
      </c>
      <c r="B25" s="283"/>
      <c r="C25" s="187">
        <f>SUM(C21:C24)</f>
        <v>555</v>
      </c>
      <c r="D25" s="190"/>
      <c r="E25" s="190"/>
      <c r="F25" s="190"/>
      <c r="G25" s="190"/>
    </row>
    <row r="26" spans="1:7" ht="27.95" customHeight="1" x14ac:dyDescent="0.2">
      <c r="A26" s="266" t="s">
        <v>245</v>
      </c>
      <c r="B26" s="266"/>
      <c r="C26" s="266"/>
      <c r="D26" s="186">
        <f>D27</f>
        <v>20.393000000000001</v>
      </c>
      <c r="E26" s="186">
        <f>E27</f>
        <v>6.54</v>
      </c>
      <c r="F26" s="186">
        <f>F27</f>
        <v>96.962760000000003</v>
      </c>
      <c r="G26" s="186">
        <f>G27</f>
        <v>551.20499999999993</v>
      </c>
    </row>
    <row r="27" spans="1:7" x14ac:dyDescent="0.2">
      <c r="A27" s="187"/>
      <c r="B27" s="188" t="s">
        <v>66</v>
      </c>
      <c r="C27" s="187"/>
      <c r="D27" s="186">
        <f>D28+D29+D30+D31</f>
        <v>20.393000000000001</v>
      </c>
      <c r="E27" s="186">
        <f t="shared" ref="E27:F27" si="0">E28+E29+E30+E31</f>
        <v>6.54</v>
      </c>
      <c r="F27" s="186">
        <f t="shared" si="0"/>
        <v>96.962760000000003</v>
      </c>
      <c r="G27" s="186">
        <f>G28+G29+G30+G31</f>
        <v>551.20499999999993</v>
      </c>
    </row>
    <row r="28" spans="1:7" ht="15" customHeight="1" x14ac:dyDescent="0.2">
      <c r="A28" s="189" t="s">
        <v>142</v>
      </c>
      <c r="B28" s="182" t="s">
        <v>143</v>
      </c>
      <c r="C28" s="189">
        <v>100</v>
      </c>
      <c r="D28" s="190">
        <f>0.9*1.67</f>
        <v>1.5029999999999999</v>
      </c>
      <c r="E28" s="190">
        <v>0.06</v>
      </c>
      <c r="F28" s="190">
        <f>8.28*1.667</f>
        <v>13.802759999999999</v>
      </c>
      <c r="G28" s="190">
        <v>64.28</v>
      </c>
    </row>
    <row r="29" spans="1:7" x14ac:dyDescent="0.2">
      <c r="A29" s="189" t="s">
        <v>229</v>
      </c>
      <c r="B29" s="182" t="s">
        <v>144</v>
      </c>
      <c r="C29" s="189">
        <v>200</v>
      </c>
      <c r="D29" s="190">
        <v>14.09</v>
      </c>
      <c r="E29" s="190">
        <v>5.98</v>
      </c>
      <c r="F29" s="190">
        <v>27.56</v>
      </c>
      <c r="G29" s="190">
        <v>229</v>
      </c>
    </row>
    <row r="30" spans="1:7" ht="21.75" customHeight="1" x14ac:dyDescent="0.2">
      <c r="A30" s="189" t="s">
        <v>42</v>
      </c>
      <c r="B30" s="182" t="s">
        <v>224</v>
      </c>
      <c r="C30" s="189">
        <v>200</v>
      </c>
      <c r="D30" s="190">
        <v>1</v>
      </c>
      <c r="E30" s="190">
        <v>0.1</v>
      </c>
      <c r="F30" s="190">
        <v>31</v>
      </c>
      <c r="G30" s="190">
        <v>135</v>
      </c>
    </row>
    <row r="31" spans="1:7" ht="15" customHeight="1" x14ac:dyDescent="0.2">
      <c r="A31" s="196"/>
      <c r="B31" s="182" t="s">
        <v>11</v>
      </c>
      <c r="C31" s="189">
        <v>50</v>
      </c>
      <c r="D31" s="190">
        <f>3.04*1.25</f>
        <v>3.8</v>
      </c>
      <c r="E31" s="190">
        <f>0.32*1.25</f>
        <v>0.4</v>
      </c>
      <c r="F31" s="190">
        <f>19.68*1.25</f>
        <v>24.6</v>
      </c>
      <c r="G31" s="190">
        <f>98.34*1.25</f>
        <v>122.92500000000001</v>
      </c>
    </row>
    <row r="32" spans="1:7" x14ac:dyDescent="0.2">
      <c r="A32" s="283" t="s">
        <v>252</v>
      </c>
      <c r="B32" s="283"/>
      <c r="C32" s="187">
        <f>SUM(C28:C31)</f>
        <v>550</v>
      </c>
      <c r="D32" s="190"/>
      <c r="E32" s="190"/>
      <c r="F32" s="190"/>
      <c r="G32" s="190"/>
    </row>
    <row r="33" spans="1:7" ht="27.95" customHeight="1" x14ac:dyDescent="0.2">
      <c r="A33" s="266" t="s">
        <v>246</v>
      </c>
      <c r="B33" s="266"/>
      <c r="C33" s="266"/>
      <c r="D33" s="186">
        <f>D34</f>
        <v>21.93</v>
      </c>
      <c r="E33" s="186">
        <f>E34</f>
        <v>17.559999999999999</v>
      </c>
      <c r="F33" s="186">
        <f>F34</f>
        <v>87.300000000000011</v>
      </c>
      <c r="G33" s="186">
        <f>G34</f>
        <v>616.85500000000002</v>
      </c>
    </row>
    <row r="34" spans="1:7" x14ac:dyDescent="0.2">
      <c r="A34" s="187"/>
      <c r="B34" s="188" t="s">
        <v>66</v>
      </c>
      <c r="C34" s="187"/>
      <c r="D34" s="186">
        <f>D35+D36+D37+D38</f>
        <v>21.93</v>
      </c>
      <c r="E34" s="186">
        <f t="shared" ref="E34:F34" si="1">E35+E36+E37+E38</f>
        <v>17.559999999999999</v>
      </c>
      <c r="F34" s="186">
        <f t="shared" si="1"/>
        <v>87.300000000000011</v>
      </c>
      <c r="G34" s="186">
        <f>G35+G36+G37+G38</f>
        <v>616.85500000000002</v>
      </c>
    </row>
    <row r="35" spans="1:7" x14ac:dyDescent="0.2">
      <c r="A35" s="196"/>
      <c r="B35" s="182" t="s">
        <v>41</v>
      </c>
      <c r="C35" s="189">
        <v>100</v>
      </c>
      <c r="D35" s="190">
        <v>0.4</v>
      </c>
      <c r="E35" s="190">
        <v>0</v>
      </c>
      <c r="F35" s="190">
        <v>9.8000000000000007</v>
      </c>
      <c r="G35" s="190">
        <v>42.84</v>
      </c>
    </row>
    <row r="36" spans="1:7" x14ac:dyDescent="0.2">
      <c r="A36" s="196" t="s">
        <v>188</v>
      </c>
      <c r="B36" s="182" t="s">
        <v>139</v>
      </c>
      <c r="C36" s="189">
        <v>200</v>
      </c>
      <c r="D36" s="190">
        <v>17.73</v>
      </c>
      <c r="E36" s="190">
        <v>17.16</v>
      </c>
      <c r="F36" s="190">
        <v>42.9</v>
      </c>
      <c r="G36" s="190">
        <v>409.09</v>
      </c>
    </row>
    <row r="37" spans="1:7" x14ac:dyDescent="0.2">
      <c r="A37" s="196" t="s">
        <v>182</v>
      </c>
      <c r="B37" s="191" t="s">
        <v>10</v>
      </c>
      <c r="C37" s="189">
        <v>200</v>
      </c>
      <c r="D37" s="190">
        <v>0</v>
      </c>
      <c r="E37" s="190">
        <v>0</v>
      </c>
      <c r="F37" s="190">
        <v>10</v>
      </c>
      <c r="G37" s="190">
        <v>42</v>
      </c>
    </row>
    <row r="38" spans="1:7" ht="15" customHeight="1" x14ac:dyDescent="0.2">
      <c r="A38" s="189"/>
      <c r="B38" s="182" t="s">
        <v>11</v>
      </c>
      <c r="C38" s="189">
        <v>50</v>
      </c>
      <c r="D38" s="190">
        <f>3.04*1.25</f>
        <v>3.8</v>
      </c>
      <c r="E38" s="190">
        <f>0.32*1.25</f>
        <v>0.4</v>
      </c>
      <c r="F38" s="190">
        <f>19.68*1.25</f>
        <v>24.6</v>
      </c>
      <c r="G38" s="190">
        <f>98.34*1.25</f>
        <v>122.92500000000001</v>
      </c>
    </row>
    <row r="39" spans="1:7" ht="15" customHeight="1" x14ac:dyDescent="0.2">
      <c r="A39" s="283" t="s">
        <v>252</v>
      </c>
      <c r="B39" s="283"/>
      <c r="C39" s="187">
        <f>SUM(C35:C38)</f>
        <v>550</v>
      </c>
      <c r="D39" s="190"/>
      <c r="E39" s="190"/>
      <c r="F39" s="190"/>
      <c r="G39" s="190"/>
    </row>
    <row r="40" spans="1:7" ht="27.95" customHeight="1" x14ac:dyDescent="0.2">
      <c r="A40" s="266" t="s">
        <v>247</v>
      </c>
      <c r="B40" s="266"/>
      <c r="C40" s="266"/>
      <c r="D40" s="186">
        <f>D41</f>
        <v>17.061199999999999</v>
      </c>
      <c r="E40" s="186">
        <f>E41</f>
        <v>16.0472</v>
      </c>
      <c r="F40" s="186">
        <f>F41</f>
        <v>90.940000000000012</v>
      </c>
      <c r="G40" s="186">
        <f>G41</f>
        <v>598.76200000000006</v>
      </c>
    </row>
    <row r="41" spans="1:7" x14ac:dyDescent="0.2">
      <c r="A41" s="187"/>
      <c r="B41" s="188" t="s">
        <v>66</v>
      </c>
      <c r="C41" s="187"/>
      <c r="D41" s="186">
        <f>D42+D43+D44+D45</f>
        <v>17.061199999999999</v>
      </c>
      <c r="E41" s="186">
        <f>E42+E43+E44+E45</f>
        <v>16.0472</v>
      </c>
      <c r="F41" s="186">
        <f>F42+F43+F44+F45</f>
        <v>90.940000000000012</v>
      </c>
      <c r="G41" s="186">
        <f>G42+G43+G44+G45</f>
        <v>598.76200000000006</v>
      </c>
    </row>
    <row r="42" spans="1:7" x14ac:dyDescent="0.2">
      <c r="A42" s="189" t="s">
        <v>228</v>
      </c>
      <c r="B42" s="182" t="s">
        <v>151</v>
      </c>
      <c r="C42" s="189">
        <v>105</v>
      </c>
      <c r="D42" s="190">
        <v>6.14</v>
      </c>
      <c r="E42" s="190">
        <v>11.91</v>
      </c>
      <c r="F42" s="190">
        <v>10.92</v>
      </c>
      <c r="G42" s="190">
        <v>178.84</v>
      </c>
    </row>
    <row r="43" spans="1:7" x14ac:dyDescent="0.2">
      <c r="A43" s="189" t="s">
        <v>33</v>
      </c>
      <c r="B43" s="182" t="s">
        <v>12</v>
      </c>
      <c r="C43" s="189">
        <v>200</v>
      </c>
      <c r="D43" s="190">
        <f>5.64*1.33</f>
        <v>7.5011999999999999</v>
      </c>
      <c r="E43" s="190">
        <f>2.84*1.33</f>
        <v>3.7772000000000001</v>
      </c>
      <c r="F43" s="190">
        <f>36*1.33</f>
        <v>47.88</v>
      </c>
      <c r="G43" s="190">
        <f>201*1.33</f>
        <v>267.33000000000004</v>
      </c>
    </row>
    <row r="44" spans="1:7" x14ac:dyDescent="0.2">
      <c r="A44" s="206" t="s">
        <v>182</v>
      </c>
      <c r="B44" s="182" t="s">
        <v>10</v>
      </c>
      <c r="C44" s="206">
        <v>200</v>
      </c>
      <c r="D44" s="190">
        <v>0</v>
      </c>
      <c r="E44" s="190">
        <v>0</v>
      </c>
      <c r="F44" s="190">
        <v>10</v>
      </c>
      <c r="G44" s="190">
        <v>42</v>
      </c>
    </row>
    <row r="45" spans="1:7" ht="13.5" customHeight="1" x14ac:dyDescent="0.2">
      <c r="A45" s="196"/>
      <c r="B45" s="191" t="s">
        <v>11</v>
      </c>
      <c r="C45" s="196">
        <v>45</v>
      </c>
      <c r="D45" s="192">
        <v>3.42</v>
      </c>
      <c r="E45" s="192">
        <v>0.36</v>
      </c>
      <c r="F45" s="192">
        <v>22.14</v>
      </c>
      <c r="G45" s="192">
        <v>110.592</v>
      </c>
    </row>
    <row r="46" spans="1:7" x14ac:dyDescent="0.2">
      <c r="A46" s="283" t="s">
        <v>252</v>
      </c>
      <c r="B46" s="283"/>
      <c r="C46" s="187">
        <f>SUM(C42:C45)</f>
        <v>550</v>
      </c>
      <c r="D46" s="190"/>
      <c r="E46" s="190"/>
      <c r="F46" s="190"/>
      <c r="G46" s="190"/>
    </row>
    <row r="47" spans="1:7" ht="27.95" customHeight="1" x14ac:dyDescent="0.2">
      <c r="A47" s="266" t="s">
        <v>248</v>
      </c>
      <c r="B47" s="266"/>
      <c r="C47" s="266"/>
      <c r="D47" s="186">
        <f>D48</f>
        <v>12.399999999999999</v>
      </c>
      <c r="E47" s="186">
        <f t="shared" ref="E47:F47" si="2">E48</f>
        <v>10.6</v>
      </c>
      <c r="F47" s="186">
        <f t="shared" si="2"/>
        <v>94.420000000000016</v>
      </c>
      <c r="G47" s="186">
        <f>G48</f>
        <v>544.08500000000004</v>
      </c>
    </row>
    <row r="48" spans="1:7" x14ac:dyDescent="0.2">
      <c r="A48" s="187"/>
      <c r="B48" s="188" t="s">
        <v>66</v>
      </c>
      <c r="C48" s="187"/>
      <c r="D48" s="186">
        <f>D49+D50+D51+D52</f>
        <v>12.399999999999999</v>
      </c>
      <c r="E48" s="186">
        <f>E49+E50+E51+E52</f>
        <v>10.6</v>
      </c>
      <c r="F48" s="186">
        <f>F49+F50+F51+F52</f>
        <v>94.420000000000016</v>
      </c>
      <c r="G48" s="186">
        <f>G49+G50+G52+G51</f>
        <v>544.08500000000004</v>
      </c>
    </row>
    <row r="49" spans="1:26" x14ac:dyDescent="0.2">
      <c r="A49" s="189"/>
      <c r="B49" s="182" t="s">
        <v>41</v>
      </c>
      <c r="C49" s="189">
        <v>100</v>
      </c>
      <c r="D49" s="190">
        <v>0.4</v>
      </c>
      <c r="E49" s="190">
        <v>0</v>
      </c>
      <c r="F49" s="190">
        <v>9.8000000000000007</v>
      </c>
      <c r="G49" s="190">
        <v>42.84</v>
      </c>
    </row>
    <row r="50" spans="1:26" ht="24.75" customHeight="1" x14ac:dyDescent="0.2">
      <c r="A50" s="189" t="s">
        <v>180</v>
      </c>
      <c r="B50" s="182" t="s">
        <v>205</v>
      </c>
      <c r="C50" s="189">
        <v>203</v>
      </c>
      <c r="D50" s="190">
        <v>8.1999999999999993</v>
      </c>
      <c r="E50" s="190">
        <v>10.199999999999999</v>
      </c>
      <c r="F50" s="190">
        <v>50.02</v>
      </c>
      <c r="G50" s="190">
        <v>336.32</v>
      </c>
      <c r="H50" s="194"/>
      <c r="I50" s="194"/>
      <c r="J50" s="194"/>
      <c r="K50" s="194"/>
      <c r="L50" s="194"/>
      <c r="M50" s="194"/>
      <c r="N50" s="195"/>
      <c r="O50" s="194"/>
      <c r="P50" s="194"/>
      <c r="Q50" s="194"/>
      <c r="R50" s="194"/>
      <c r="S50" s="194"/>
    </row>
    <row r="51" spans="1:26" ht="12" customHeight="1" x14ac:dyDescent="0.2">
      <c r="A51" s="196" t="s">
        <v>182</v>
      </c>
      <c r="B51" s="182" t="s">
        <v>10</v>
      </c>
      <c r="C51" s="189">
        <v>200</v>
      </c>
      <c r="D51" s="190">
        <v>0</v>
      </c>
      <c r="E51" s="190">
        <v>0</v>
      </c>
      <c r="F51" s="190">
        <v>10</v>
      </c>
      <c r="G51" s="190">
        <v>42</v>
      </c>
      <c r="H51" s="194"/>
      <c r="I51" s="194"/>
      <c r="J51" s="194"/>
      <c r="K51" s="194"/>
      <c r="L51" s="194"/>
      <c r="M51" s="194"/>
      <c r="N51" s="195"/>
      <c r="O51" s="194"/>
      <c r="P51" s="194"/>
      <c r="Q51" s="194"/>
      <c r="R51" s="194"/>
      <c r="S51" s="194"/>
    </row>
    <row r="52" spans="1:26" x14ac:dyDescent="0.2">
      <c r="A52" s="206"/>
      <c r="B52" s="182" t="s">
        <v>11</v>
      </c>
      <c r="C52" s="189">
        <v>50</v>
      </c>
      <c r="D52" s="190">
        <f>3.04*1.25</f>
        <v>3.8</v>
      </c>
      <c r="E52" s="190">
        <f>0.32*1.25</f>
        <v>0.4</v>
      </c>
      <c r="F52" s="190">
        <f>19.68*1.25</f>
        <v>24.6</v>
      </c>
      <c r="G52" s="190">
        <f>98.34*1.25</f>
        <v>122.92500000000001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</row>
    <row r="53" spans="1:26" x14ac:dyDescent="0.2">
      <c r="A53" s="283" t="s">
        <v>252</v>
      </c>
      <c r="B53" s="283"/>
      <c r="C53" s="207">
        <f>SUM(C49:C52)</f>
        <v>553</v>
      </c>
      <c r="D53" s="192"/>
      <c r="E53" s="192"/>
      <c r="F53" s="192"/>
      <c r="G53" s="192"/>
    </row>
    <row r="54" spans="1:26" ht="27.95" customHeight="1" x14ac:dyDescent="0.2">
      <c r="A54" s="266" t="s">
        <v>64</v>
      </c>
      <c r="B54" s="266"/>
      <c r="C54" s="266"/>
      <c r="D54" s="186">
        <f>D55</f>
        <v>22.991100000000003</v>
      </c>
      <c r="E54" s="186">
        <f>E55</f>
        <v>15.026100000000001</v>
      </c>
      <c r="F54" s="186">
        <f>F55</f>
        <v>108.60570000000001</v>
      </c>
      <c r="G54" s="186">
        <f>G55</f>
        <v>688.53250000000003</v>
      </c>
    </row>
    <row r="55" spans="1:26" x14ac:dyDescent="0.2">
      <c r="A55" s="187"/>
      <c r="B55" s="188" t="s">
        <v>66</v>
      </c>
      <c r="C55" s="187"/>
      <c r="D55" s="186">
        <f>D56+D57+D58+D59+D60</f>
        <v>22.991100000000003</v>
      </c>
      <c r="E55" s="186">
        <f>E56+E57+E58+E59+E60</f>
        <v>15.026100000000001</v>
      </c>
      <c r="F55" s="186">
        <f>F56+F57+F58+F59+F60</f>
        <v>108.60570000000001</v>
      </c>
      <c r="G55" s="186">
        <f>G56+G57+G58+G59+G60</f>
        <v>688.53250000000003</v>
      </c>
    </row>
    <row r="56" spans="1:26" ht="17.25" customHeight="1" x14ac:dyDescent="0.2">
      <c r="A56" s="196" t="s">
        <v>230</v>
      </c>
      <c r="B56" s="182" t="s">
        <v>158</v>
      </c>
      <c r="C56" s="189">
        <v>100</v>
      </c>
      <c r="D56" s="190">
        <f>11.81*1.11</f>
        <v>13.109100000000002</v>
      </c>
      <c r="E56" s="190">
        <f>8.11*1.11</f>
        <v>9.0021000000000004</v>
      </c>
      <c r="F56" s="190">
        <f>4.87*1.11</f>
        <v>5.4057000000000004</v>
      </c>
      <c r="G56" s="190">
        <f>143.05*1.11</f>
        <v>158.78550000000001</v>
      </c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</row>
    <row r="57" spans="1:26" ht="13.5" customHeight="1" x14ac:dyDescent="0.2">
      <c r="A57" s="196" t="s">
        <v>189</v>
      </c>
      <c r="B57" s="182" t="s">
        <v>159</v>
      </c>
      <c r="C57" s="189">
        <v>180</v>
      </c>
      <c r="D57" s="190">
        <f>3.81*1.2</f>
        <v>4.5720000000000001</v>
      </c>
      <c r="E57" s="190">
        <f>2.72*1.2</f>
        <v>3.2640000000000002</v>
      </c>
      <c r="F57" s="190">
        <f>40*1.2</f>
        <v>48</v>
      </c>
      <c r="G57" s="190">
        <f>208.48*1.2</f>
        <v>250.17599999999999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1:26" ht="14.25" customHeight="1" x14ac:dyDescent="0.2">
      <c r="A58" s="196"/>
      <c r="B58" s="182" t="s">
        <v>62</v>
      </c>
      <c r="C58" s="189">
        <v>20</v>
      </c>
      <c r="D58" s="190">
        <v>1.5</v>
      </c>
      <c r="E58" s="190">
        <v>2.36</v>
      </c>
      <c r="F58" s="190">
        <v>14.98</v>
      </c>
      <c r="G58" s="190">
        <v>91</v>
      </c>
      <c r="H58" s="197"/>
      <c r="I58" s="197"/>
      <c r="J58" s="184"/>
      <c r="K58" s="197"/>
      <c r="L58" s="197"/>
      <c r="M58" s="184"/>
      <c r="N58" s="197"/>
      <c r="O58" s="197"/>
      <c r="P58" s="184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1:26" ht="14.25" customHeight="1" x14ac:dyDescent="0.2">
      <c r="A59" s="196" t="s">
        <v>231</v>
      </c>
      <c r="B59" s="182" t="s">
        <v>160</v>
      </c>
      <c r="C59" s="189">
        <v>200</v>
      </c>
      <c r="D59" s="190">
        <v>0.01</v>
      </c>
      <c r="E59" s="190"/>
      <c r="F59" s="190">
        <v>15.62</v>
      </c>
      <c r="G59" s="190">
        <v>65.646000000000001</v>
      </c>
      <c r="H59" s="197"/>
      <c r="I59" s="197"/>
      <c r="J59" s="184"/>
      <c r="K59" s="197"/>
      <c r="L59" s="197"/>
      <c r="M59" s="184"/>
      <c r="N59" s="197"/>
      <c r="O59" s="197"/>
      <c r="P59" s="184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1:26" ht="14.25" customHeight="1" x14ac:dyDescent="0.2">
      <c r="A60" s="189"/>
      <c r="B60" s="182" t="s">
        <v>11</v>
      </c>
      <c r="C60" s="189">
        <v>50</v>
      </c>
      <c r="D60" s="190">
        <f>3.04*1.25</f>
        <v>3.8</v>
      </c>
      <c r="E60" s="190">
        <f>0.32*1.25</f>
        <v>0.4</v>
      </c>
      <c r="F60" s="190">
        <f>19.68*1.25</f>
        <v>24.6</v>
      </c>
      <c r="G60" s="190">
        <f>98.34*1.25</f>
        <v>122.92500000000001</v>
      </c>
      <c r="H60" s="198"/>
      <c r="I60" s="197"/>
      <c r="J60" s="198"/>
      <c r="K60" s="197"/>
      <c r="L60" s="197"/>
      <c r="M60" s="198"/>
      <c r="N60" s="184"/>
      <c r="O60" s="184"/>
      <c r="P60" s="184"/>
      <c r="Q60" s="184"/>
      <c r="R60" s="184"/>
      <c r="S60" s="184"/>
      <c r="T60" s="184"/>
      <c r="U60" s="184"/>
      <c r="V60" s="184"/>
      <c r="W60" s="197"/>
      <c r="X60" s="184"/>
      <c r="Y60" s="184"/>
      <c r="Z60" s="198"/>
    </row>
    <row r="61" spans="1:26" ht="15" customHeight="1" x14ac:dyDescent="0.2">
      <c r="A61" s="283" t="s">
        <v>252</v>
      </c>
      <c r="B61" s="283"/>
      <c r="C61" s="207">
        <f>SUM(C56:C60)</f>
        <v>550</v>
      </c>
      <c r="D61" s="192"/>
      <c r="E61" s="192"/>
      <c r="F61" s="192"/>
      <c r="G61" s="192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</row>
    <row r="62" spans="1:26" ht="27.95" customHeight="1" x14ac:dyDescent="0.2">
      <c r="A62" s="266" t="s">
        <v>249</v>
      </c>
      <c r="B62" s="266"/>
      <c r="C62" s="266"/>
      <c r="D62" s="186">
        <f>D63</f>
        <v>19.621199999999998</v>
      </c>
      <c r="E62" s="186">
        <f>E63</f>
        <v>15.2972</v>
      </c>
      <c r="F62" s="186">
        <f>F63</f>
        <v>83.36</v>
      </c>
      <c r="G62" s="186">
        <f>G63</f>
        <v>570.96600000000001</v>
      </c>
    </row>
    <row r="63" spans="1:26" x14ac:dyDescent="0.2">
      <c r="A63" s="187"/>
      <c r="B63" s="188" t="s">
        <v>66</v>
      </c>
      <c r="C63" s="187"/>
      <c r="D63" s="186">
        <f>D64+D65+D66+D67</f>
        <v>19.621199999999998</v>
      </c>
      <c r="E63" s="186">
        <f>E64+E65+E66+E67</f>
        <v>15.2972</v>
      </c>
      <c r="F63" s="186">
        <f>F64+F65+F66+F67</f>
        <v>83.36</v>
      </c>
      <c r="G63" s="186">
        <f>G64+G65+G66+G67</f>
        <v>570.96600000000001</v>
      </c>
    </row>
    <row r="64" spans="1:26" x14ac:dyDescent="0.2">
      <c r="A64" s="189" t="s">
        <v>232</v>
      </c>
      <c r="B64" s="182" t="s">
        <v>164</v>
      </c>
      <c r="C64" s="189">
        <v>110</v>
      </c>
      <c r="D64" s="190">
        <v>9.08</v>
      </c>
      <c r="E64" s="190">
        <v>11.2</v>
      </c>
      <c r="F64" s="190">
        <v>5.8</v>
      </c>
      <c r="G64" s="190">
        <v>163.29599999999999</v>
      </c>
    </row>
    <row r="65" spans="1:27" x14ac:dyDescent="0.2">
      <c r="A65" s="189" t="s">
        <v>33</v>
      </c>
      <c r="B65" s="182" t="s">
        <v>12</v>
      </c>
      <c r="C65" s="189">
        <v>200</v>
      </c>
      <c r="D65" s="190">
        <f>5.64*1.33</f>
        <v>7.5011999999999999</v>
      </c>
      <c r="E65" s="190">
        <f>2.84*1.33</f>
        <v>3.7772000000000001</v>
      </c>
      <c r="F65" s="190">
        <f>36*1.33</f>
        <v>47.88</v>
      </c>
      <c r="G65" s="190">
        <f>201*1.33</f>
        <v>267.33000000000004</v>
      </c>
    </row>
    <row r="66" spans="1:27" x14ac:dyDescent="0.2">
      <c r="A66" s="196" t="s">
        <v>182</v>
      </c>
      <c r="B66" s="182" t="s">
        <v>10</v>
      </c>
      <c r="C66" s="206">
        <v>200</v>
      </c>
      <c r="D66" s="190">
        <v>0</v>
      </c>
      <c r="E66" s="190">
        <v>0</v>
      </c>
      <c r="F66" s="190">
        <v>10</v>
      </c>
      <c r="G66" s="190">
        <v>42</v>
      </c>
    </row>
    <row r="67" spans="1:27" x14ac:dyDescent="0.2">
      <c r="A67" s="196"/>
      <c r="B67" s="191" t="s">
        <v>11</v>
      </c>
      <c r="C67" s="196">
        <v>40</v>
      </c>
      <c r="D67" s="192">
        <v>3.04</v>
      </c>
      <c r="E67" s="192">
        <v>0.32</v>
      </c>
      <c r="F67" s="192">
        <v>19.68</v>
      </c>
      <c r="G67" s="192">
        <v>98.34</v>
      </c>
    </row>
    <row r="68" spans="1:27" x14ac:dyDescent="0.2">
      <c r="A68" s="283" t="s">
        <v>252</v>
      </c>
      <c r="B68" s="283"/>
      <c r="C68" s="208">
        <f>SUM(C64:C67)</f>
        <v>550</v>
      </c>
      <c r="D68" s="190"/>
      <c r="E68" s="190"/>
      <c r="F68" s="190"/>
      <c r="G68" s="190"/>
    </row>
    <row r="69" spans="1:27" ht="27.95" customHeight="1" x14ac:dyDescent="0.2">
      <c r="A69" s="266" t="s">
        <v>250</v>
      </c>
      <c r="B69" s="266"/>
      <c r="C69" s="266"/>
      <c r="D69" s="186">
        <f>D70</f>
        <v>35.653599999999997</v>
      </c>
      <c r="E69" s="186">
        <f>E70</f>
        <v>14.3833</v>
      </c>
      <c r="F69" s="186">
        <f>F70</f>
        <v>83.43</v>
      </c>
      <c r="G69" s="186">
        <f>G70</f>
        <v>629.6869999999999</v>
      </c>
    </row>
    <row r="70" spans="1:27" x14ac:dyDescent="0.2">
      <c r="A70" s="187"/>
      <c r="B70" s="188" t="s">
        <v>66</v>
      </c>
      <c r="C70" s="187"/>
      <c r="D70" s="186">
        <f>D71+D72+D73+D74+D75</f>
        <v>35.653599999999997</v>
      </c>
      <c r="E70" s="186">
        <f t="shared" ref="E70:F70" si="3">E71+E72+E73+E74+E75</f>
        <v>14.3833</v>
      </c>
      <c r="F70" s="186">
        <f t="shared" si="3"/>
        <v>83.43</v>
      </c>
      <c r="G70" s="186">
        <f>G71+G72+G73+G74+G75</f>
        <v>629.6869999999999</v>
      </c>
    </row>
    <row r="71" spans="1:27" ht="12.75" customHeight="1" x14ac:dyDescent="0.2">
      <c r="A71" s="189"/>
      <c r="B71" s="182" t="s">
        <v>168</v>
      </c>
      <c r="C71" s="189">
        <v>40</v>
      </c>
      <c r="D71" s="190">
        <v>5.08</v>
      </c>
      <c r="E71" s="190">
        <v>4.5999999999999996</v>
      </c>
      <c r="F71" s="190">
        <v>0.28000000000000003</v>
      </c>
      <c r="G71" s="190">
        <v>63.911999999999999</v>
      </c>
    </row>
    <row r="72" spans="1:27" ht="25.5" x14ac:dyDescent="0.2">
      <c r="A72" s="189" t="s">
        <v>39</v>
      </c>
      <c r="B72" s="211" t="s">
        <v>264</v>
      </c>
      <c r="C72" s="199">
        <v>160</v>
      </c>
      <c r="D72" s="200">
        <f>18.92*1.33+0.06</f>
        <v>25.223600000000001</v>
      </c>
      <c r="E72" s="200">
        <f>7.01*1.33+0.06</f>
        <v>9.3833000000000002</v>
      </c>
      <c r="F72" s="200">
        <f>15*1.33+16.77</f>
        <v>36.72</v>
      </c>
      <c r="G72" s="200">
        <v>344.61</v>
      </c>
    </row>
    <row r="73" spans="1:27" x14ac:dyDescent="0.2">
      <c r="A73" s="189"/>
      <c r="B73" s="182" t="s">
        <v>41</v>
      </c>
      <c r="C73" s="189">
        <v>100</v>
      </c>
      <c r="D73" s="190">
        <v>0.4</v>
      </c>
      <c r="E73" s="190">
        <v>0</v>
      </c>
      <c r="F73" s="190">
        <v>9.8000000000000007</v>
      </c>
      <c r="G73" s="190">
        <v>42.84</v>
      </c>
    </row>
    <row r="74" spans="1:27" x14ac:dyDescent="0.2">
      <c r="A74" s="189" t="s">
        <v>42</v>
      </c>
      <c r="B74" s="182" t="s">
        <v>223</v>
      </c>
      <c r="C74" s="189">
        <v>200</v>
      </c>
      <c r="D74" s="190">
        <v>1.1499999999999999</v>
      </c>
      <c r="E74" s="190"/>
      <c r="F74" s="190">
        <v>12.03</v>
      </c>
      <c r="G74" s="190">
        <v>55.4</v>
      </c>
    </row>
    <row r="75" spans="1:27" x14ac:dyDescent="0.2">
      <c r="A75" s="196"/>
      <c r="B75" s="182" t="s">
        <v>11</v>
      </c>
      <c r="C75" s="189">
        <v>50</v>
      </c>
      <c r="D75" s="190">
        <f>3.04*1.25</f>
        <v>3.8</v>
      </c>
      <c r="E75" s="190">
        <f>0.32*1.25</f>
        <v>0.4</v>
      </c>
      <c r="F75" s="190">
        <f>19.68*1.25</f>
        <v>24.6</v>
      </c>
      <c r="G75" s="190">
        <f>98.34*1.25</f>
        <v>122.92500000000001</v>
      </c>
    </row>
    <row r="76" spans="1:27" x14ac:dyDescent="0.2">
      <c r="A76" s="283" t="s">
        <v>252</v>
      </c>
      <c r="B76" s="283"/>
      <c r="C76" s="187">
        <f>SUM(C71:C75)</f>
        <v>550</v>
      </c>
      <c r="D76" s="190"/>
      <c r="E76" s="190"/>
      <c r="F76" s="190"/>
      <c r="G76" s="190"/>
    </row>
    <row r="77" spans="1:27" ht="27.95" customHeight="1" x14ac:dyDescent="0.2">
      <c r="A77" s="266" t="s">
        <v>251</v>
      </c>
      <c r="B77" s="266"/>
      <c r="C77" s="266"/>
      <c r="D77" s="186">
        <f>D78</f>
        <v>26.381999999999998</v>
      </c>
      <c r="E77" s="186">
        <f>E78</f>
        <v>13.664000000000001</v>
      </c>
      <c r="F77" s="186">
        <f>F78</f>
        <v>87.740000000000009</v>
      </c>
      <c r="G77" s="186">
        <f>G78</f>
        <v>603.101</v>
      </c>
      <c r="H77" s="226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2"/>
    </row>
    <row r="78" spans="1:27" x14ac:dyDescent="0.2">
      <c r="A78" s="187"/>
      <c r="B78" s="188" t="s">
        <v>66</v>
      </c>
      <c r="C78" s="187"/>
      <c r="D78" s="186">
        <f>D79+D80+D81+D82+D83</f>
        <v>26.381999999999998</v>
      </c>
      <c r="E78" s="186">
        <f>E79+E80+E81+E82+E83</f>
        <v>13.664000000000001</v>
      </c>
      <c r="F78" s="186">
        <f>F79+F80+F81+F82+F83</f>
        <v>87.740000000000009</v>
      </c>
      <c r="G78" s="186">
        <f>G79+G80+G81+G82+G83</f>
        <v>603.101</v>
      </c>
      <c r="H78" s="226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2"/>
    </row>
    <row r="79" spans="1:27" x14ac:dyDescent="0.2">
      <c r="A79" s="189" t="s">
        <v>233</v>
      </c>
      <c r="B79" s="182" t="s">
        <v>170</v>
      </c>
      <c r="C79" s="189">
        <v>100</v>
      </c>
      <c r="D79" s="190">
        <v>17.829999999999998</v>
      </c>
      <c r="E79" s="190">
        <v>7.99</v>
      </c>
      <c r="F79" s="190">
        <v>4.25</v>
      </c>
      <c r="G79" s="190">
        <v>165</v>
      </c>
      <c r="H79" s="197"/>
      <c r="I79" s="197"/>
      <c r="J79" s="197"/>
      <c r="K79" s="197"/>
      <c r="L79" s="197"/>
      <c r="M79" s="197"/>
      <c r="N79" s="197"/>
      <c r="O79" s="197"/>
      <c r="P79" s="184"/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spans="1:27" x14ac:dyDescent="0.2">
      <c r="A80" s="196" t="s">
        <v>189</v>
      </c>
      <c r="B80" s="182" t="s">
        <v>159</v>
      </c>
      <c r="C80" s="189">
        <v>180</v>
      </c>
      <c r="D80" s="190">
        <f>3.81*1.2</f>
        <v>4.5720000000000001</v>
      </c>
      <c r="E80" s="190">
        <f>2.72*1.2</f>
        <v>3.2640000000000002</v>
      </c>
      <c r="F80" s="190">
        <f>40*1.2</f>
        <v>48</v>
      </c>
      <c r="G80" s="190">
        <f>208.48*1.2</f>
        <v>250.17599999999999</v>
      </c>
      <c r="H80" s="197"/>
      <c r="I80" s="197"/>
      <c r="J80" s="197"/>
      <c r="K80" s="197"/>
      <c r="L80" s="197"/>
      <c r="M80" s="197"/>
      <c r="N80" s="184"/>
      <c r="O80" s="184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spans="1:26" x14ac:dyDescent="0.2">
      <c r="A81" s="206" t="s">
        <v>191</v>
      </c>
      <c r="B81" s="182" t="s">
        <v>171</v>
      </c>
      <c r="C81" s="189">
        <v>20</v>
      </c>
      <c r="D81" s="190">
        <v>0.18</v>
      </c>
      <c r="E81" s="190">
        <v>2.0099999999999998</v>
      </c>
      <c r="F81" s="190">
        <v>0.89</v>
      </c>
      <c r="G81" s="190">
        <v>23</v>
      </c>
      <c r="H81" s="197"/>
      <c r="I81" s="197"/>
      <c r="J81" s="184"/>
      <c r="K81" s="197"/>
      <c r="L81" s="197"/>
      <c r="M81" s="197"/>
      <c r="N81" s="197"/>
      <c r="O81" s="197"/>
      <c r="P81" s="184"/>
      <c r="Q81" s="184"/>
      <c r="R81" s="184"/>
      <c r="S81" s="184"/>
      <c r="T81" s="184"/>
      <c r="U81" s="184"/>
      <c r="V81" s="184"/>
      <c r="W81" s="197"/>
      <c r="X81" s="184"/>
      <c r="Y81" s="184"/>
      <c r="Z81" s="197"/>
    </row>
    <row r="82" spans="1:26" x14ac:dyDescent="0.2">
      <c r="A82" s="196" t="s">
        <v>182</v>
      </c>
      <c r="B82" s="182" t="s">
        <v>10</v>
      </c>
      <c r="C82" s="206">
        <v>200</v>
      </c>
      <c r="D82" s="190">
        <v>0</v>
      </c>
      <c r="E82" s="190">
        <v>0</v>
      </c>
      <c r="F82" s="190">
        <v>10</v>
      </c>
      <c r="G82" s="190">
        <v>42</v>
      </c>
      <c r="H82" s="197"/>
      <c r="I82" s="197"/>
      <c r="J82" s="184"/>
      <c r="K82" s="197"/>
      <c r="L82" s="197"/>
      <c r="M82" s="197"/>
      <c r="N82" s="197"/>
      <c r="O82" s="197"/>
      <c r="P82" s="184"/>
      <c r="Q82" s="184"/>
      <c r="R82" s="184"/>
      <c r="S82" s="184"/>
      <c r="T82" s="184"/>
      <c r="U82" s="184"/>
      <c r="V82" s="184"/>
      <c r="W82" s="197"/>
      <c r="X82" s="184"/>
      <c r="Y82" s="184"/>
      <c r="Z82" s="197"/>
    </row>
    <row r="83" spans="1:26" x14ac:dyDescent="0.2">
      <c r="A83" s="196"/>
      <c r="B83" s="182" t="s">
        <v>11</v>
      </c>
      <c r="C83" s="189">
        <v>50</v>
      </c>
      <c r="D83" s="190">
        <f>3.04*1.25</f>
        <v>3.8</v>
      </c>
      <c r="E83" s="190">
        <f>0.32*1.25</f>
        <v>0.4</v>
      </c>
      <c r="F83" s="190">
        <f>19.68*1.25</f>
        <v>24.6</v>
      </c>
      <c r="G83" s="190">
        <f>98.34*1.25</f>
        <v>122.92500000000001</v>
      </c>
      <c r="H83" s="198"/>
      <c r="I83" s="197"/>
      <c r="J83" s="198"/>
      <c r="K83" s="197"/>
      <c r="L83" s="197"/>
      <c r="M83" s="198"/>
      <c r="N83" s="184"/>
      <c r="O83" s="184"/>
      <c r="P83" s="184"/>
      <c r="Q83" s="184"/>
      <c r="R83" s="184"/>
      <c r="S83" s="184"/>
      <c r="T83" s="184"/>
      <c r="U83" s="184"/>
      <c r="V83" s="184"/>
      <c r="W83" s="197"/>
      <c r="X83" s="184"/>
      <c r="Y83" s="184"/>
      <c r="Z83" s="198"/>
    </row>
    <row r="84" spans="1:26" x14ac:dyDescent="0.2">
      <c r="A84" s="283" t="s">
        <v>252</v>
      </c>
      <c r="B84" s="283"/>
      <c r="C84" s="208">
        <f>SUM(C79:C83)</f>
        <v>550</v>
      </c>
      <c r="D84" s="189"/>
      <c r="E84" s="189"/>
      <c r="F84" s="189"/>
      <c r="G84" s="189"/>
      <c r="H84" s="227"/>
      <c r="I84" s="203"/>
      <c r="J84" s="204"/>
      <c r="K84" s="203"/>
      <c r="L84" s="203"/>
      <c r="M84" s="203"/>
      <c r="N84" s="205"/>
      <c r="O84" s="205"/>
      <c r="P84" s="204"/>
      <c r="Q84" s="204"/>
      <c r="R84" s="204"/>
      <c r="S84" s="204"/>
      <c r="T84" s="204"/>
      <c r="U84" s="204"/>
      <c r="V84" s="204"/>
      <c r="W84" s="205"/>
      <c r="X84" s="204"/>
      <c r="Y84" s="204"/>
      <c r="Z84" s="205"/>
    </row>
    <row r="85" spans="1:26" x14ac:dyDescent="0.2">
      <c r="A85" s="269" t="s">
        <v>265</v>
      </c>
      <c r="B85" s="269"/>
      <c r="C85" s="269"/>
      <c r="D85" s="232">
        <f>D86</f>
        <v>18.21</v>
      </c>
      <c r="E85" s="232">
        <f>E86</f>
        <v>19.13</v>
      </c>
      <c r="F85" s="232">
        <f>F86</f>
        <v>102.99000000000001</v>
      </c>
      <c r="G85" s="232">
        <f>G86</f>
        <v>682.25</v>
      </c>
    </row>
    <row r="86" spans="1:26" x14ac:dyDescent="0.2">
      <c r="A86" s="233"/>
      <c r="B86" s="234" t="s">
        <v>66</v>
      </c>
      <c r="C86" s="233"/>
      <c r="D86" s="232">
        <f>D87+D88+D89+D90+D91+D92</f>
        <v>18.21</v>
      </c>
      <c r="E86" s="232">
        <f t="shared" ref="E86:G86" si="4">E87+E88+E89+E90+E91+E92</f>
        <v>19.13</v>
      </c>
      <c r="F86" s="232">
        <f t="shared" si="4"/>
        <v>102.99000000000001</v>
      </c>
      <c r="G86" s="232">
        <f t="shared" si="4"/>
        <v>682.25</v>
      </c>
    </row>
    <row r="87" spans="1:26" x14ac:dyDescent="0.2">
      <c r="A87" s="235" t="s">
        <v>181</v>
      </c>
      <c r="B87" s="236" t="s">
        <v>35</v>
      </c>
      <c r="C87" s="235">
        <v>10</v>
      </c>
      <c r="D87" s="237">
        <v>2.6</v>
      </c>
      <c r="E87" s="237">
        <v>2.65</v>
      </c>
      <c r="F87" s="237">
        <v>0.35</v>
      </c>
      <c r="G87" s="237">
        <v>36.24</v>
      </c>
    </row>
    <row r="88" spans="1:26" x14ac:dyDescent="0.2">
      <c r="A88" s="235" t="s">
        <v>179</v>
      </c>
      <c r="B88" s="236" t="s">
        <v>136</v>
      </c>
      <c r="C88" s="235">
        <v>5</v>
      </c>
      <c r="D88" s="237">
        <v>0.05</v>
      </c>
      <c r="E88" s="237">
        <v>3.63</v>
      </c>
      <c r="F88" s="237">
        <v>7.0000000000000007E-2</v>
      </c>
      <c r="G88" s="237">
        <v>33.11</v>
      </c>
    </row>
    <row r="89" spans="1:26" ht="25.5" x14ac:dyDescent="0.2">
      <c r="A89" s="235" t="s">
        <v>180</v>
      </c>
      <c r="B89" s="236" t="s">
        <v>208</v>
      </c>
      <c r="C89" s="235">
        <v>255</v>
      </c>
      <c r="D89" s="237">
        <v>9.52</v>
      </c>
      <c r="E89" s="237">
        <v>7.81</v>
      </c>
      <c r="F89" s="237">
        <v>42.93</v>
      </c>
      <c r="G89" s="237">
        <v>290.56</v>
      </c>
    </row>
    <row r="90" spans="1:26" x14ac:dyDescent="0.2">
      <c r="A90" s="235"/>
      <c r="B90" s="236" t="s">
        <v>62</v>
      </c>
      <c r="C90" s="235">
        <v>40</v>
      </c>
      <c r="D90" s="237">
        <v>3</v>
      </c>
      <c r="E90" s="237">
        <v>4.72</v>
      </c>
      <c r="F90" s="237">
        <v>29.96</v>
      </c>
      <c r="G90" s="237">
        <v>182</v>
      </c>
    </row>
    <row r="91" spans="1:26" x14ac:dyDescent="0.2">
      <c r="A91" s="238" t="s">
        <v>182</v>
      </c>
      <c r="B91" s="236" t="s">
        <v>10</v>
      </c>
      <c r="C91" s="239">
        <v>200</v>
      </c>
      <c r="D91" s="237">
        <v>0</v>
      </c>
      <c r="E91" s="237">
        <v>0</v>
      </c>
      <c r="F91" s="237">
        <v>10</v>
      </c>
      <c r="G91" s="237">
        <v>42</v>
      </c>
    </row>
    <row r="92" spans="1:26" x14ac:dyDescent="0.2">
      <c r="A92" s="235"/>
      <c r="B92" s="236" t="s">
        <v>11</v>
      </c>
      <c r="C92" s="235">
        <v>40</v>
      </c>
      <c r="D92" s="237">
        <v>3.04</v>
      </c>
      <c r="E92" s="237">
        <v>0.32</v>
      </c>
      <c r="F92" s="237">
        <v>19.68</v>
      </c>
      <c r="G92" s="237">
        <v>98.34</v>
      </c>
    </row>
    <row r="93" spans="1:26" x14ac:dyDescent="0.2">
      <c r="A93" s="270" t="s">
        <v>252</v>
      </c>
      <c r="B93" s="271"/>
      <c r="C93" s="240">
        <f>SUM(C87:C92)</f>
        <v>550</v>
      </c>
      <c r="D93" s="241"/>
      <c r="E93" s="241"/>
      <c r="F93" s="241"/>
      <c r="G93" s="241"/>
    </row>
    <row r="94" spans="1:26" x14ac:dyDescent="0.2">
      <c r="A94" s="269" t="s">
        <v>266</v>
      </c>
      <c r="B94" s="269"/>
      <c r="C94" s="269"/>
      <c r="D94" s="232">
        <f>D95</f>
        <v>28.796399999999998</v>
      </c>
      <c r="E94" s="232">
        <f>E95</f>
        <v>19.804600000000001</v>
      </c>
      <c r="F94" s="232">
        <f>F95</f>
        <v>104.0213</v>
      </c>
      <c r="G94" s="232">
        <f>G95</f>
        <v>736.20499999999993</v>
      </c>
    </row>
    <row r="95" spans="1:26" x14ac:dyDescent="0.2">
      <c r="A95" s="233"/>
      <c r="B95" s="234" t="s">
        <v>66</v>
      </c>
      <c r="C95" s="233"/>
      <c r="D95" s="232">
        <f>D96+D97+D98+D99+D100</f>
        <v>28.796399999999998</v>
      </c>
      <c r="E95" s="232">
        <f t="shared" ref="E95:G95" si="5">E96+E97+E98+E99+E100</f>
        <v>19.804600000000001</v>
      </c>
      <c r="F95" s="232">
        <f t="shared" si="5"/>
        <v>104.0213</v>
      </c>
      <c r="G95" s="232">
        <f t="shared" si="5"/>
        <v>736.20499999999993</v>
      </c>
    </row>
    <row r="96" spans="1:26" x14ac:dyDescent="0.2">
      <c r="A96" s="235" t="s">
        <v>131</v>
      </c>
      <c r="B96" s="236" t="s">
        <v>146</v>
      </c>
      <c r="C96" s="235">
        <v>100</v>
      </c>
      <c r="D96" s="237">
        <f>11.84*1.11</f>
        <v>13.1424</v>
      </c>
      <c r="E96" s="237">
        <f>10.06*1.11</f>
        <v>11.166600000000001</v>
      </c>
      <c r="F96" s="237">
        <f>16.03*1.11</f>
        <v>17.793300000000002</v>
      </c>
      <c r="G96" s="237">
        <f>208*1.11</f>
        <v>230.88000000000002</v>
      </c>
    </row>
    <row r="97" spans="1:7" x14ac:dyDescent="0.2">
      <c r="A97" s="238" t="s">
        <v>38</v>
      </c>
      <c r="B97" s="236" t="s">
        <v>36</v>
      </c>
      <c r="C97" s="235">
        <v>180</v>
      </c>
      <c r="D97" s="237">
        <f>8.77*1.2</f>
        <v>10.523999999999999</v>
      </c>
      <c r="E97" s="237">
        <f>5.19*1.2</f>
        <v>6.2280000000000006</v>
      </c>
      <c r="F97" s="237">
        <f>39.6*1.23</f>
        <v>48.707999999999998</v>
      </c>
      <c r="G97" s="237">
        <v>304</v>
      </c>
    </row>
    <row r="98" spans="1:7" x14ac:dyDescent="0.2">
      <c r="A98" s="239" t="s">
        <v>191</v>
      </c>
      <c r="B98" s="236" t="s">
        <v>171</v>
      </c>
      <c r="C98" s="235">
        <v>20</v>
      </c>
      <c r="D98" s="237">
        <v>0.18</v>
      </c>
      <c r="E98" s="237">
        <v>2.0099999999999998</v>
      </c>
      <c r="F98" s="237">
        <v>0.89</v>
      </c>
      <c r="G98" s="237">
        <v>23</v>
      </c>
    </row>
    <row r="99" spans="1:7" x14ac:dyDescent="0.2">
      <c r="A99" s="235" t="s">
        <v>42</v>
      </c>
      <c r="B99" s="236" t="s">
        <v>223</v>
      </c>
      <c r="C99" s="235">
        <v>200</v>
      </c>
      <c r="D99" s="237">
        <v>1.1499999999999999</v>
      </c>
      <c r="E99" s="237"/>
      <c r="F99" s="237">
        <v>12.03</v>
      </c>
      <c r="G99" s="237">
        <v>55.4</v>
      </c>
    </row>
    <row r="100" spans="1:7" x14ac:dyDescent="0.2">
      <c r="A100" s="238"/>
      <c r="B100" s="236" t="s">
        <v>11</v>
      </c>
      <c r="C100" s="235">
        <v>50</v>
      </c>
      <c r="D100" s="237">
        <f>3.04*1.25</f>
        <v>3.8</v>
      </c>
      <c r="E100" s="237">
        <f>0.32*1.25</f>
        <v>0.4</v>
      </c>
      <c r="F100" s="237">
        <f>19.68*1.25</f>
        <v>24.6</v>
      </c>
      <c r="G100" s="237">
        <f>98.34*1.25</f>
        <v>122.92500000000001</v>
      </c>
    </row>
    <row r="101" spans="1:7" x14ac:dyDescent="0.2">
      <c r="A101" s="270" t="s">
        <v>252</v>
      </c>
      <c r="B101" s="271"/>
      <c r="C101" s="233">
        <f>SUM(C96:C100)</f>
        <v>550</v>
      </c>
      <c r="D101" s="237"/>
      <c r="E101" s="237"/>
      <c r="F101" s="237"/>
      <c r="G101" s="237"/>
    </row>
    <row r="102" spans="1:7" x14ac:dyDescent="0.2">
      <c r="A102" s="269" t="s">
        <v>267</v>
      </c>
      <c r="B102" s="269"/>
      <c r="C102" s="269"/>
      <c r="D102" s="232">
        <f>D103</f>
        <v>25.599999999999998</v>
      </c>
      <c r="E102" s="232">
        <f>E103</f>
        <v>32.01</v>
      </c>
      <c r="F102" s="232">
        <f>F103</f>
        <v>64.37</v>
      </c>
      <c r="G102" s="232">
        <f>G103</f>
        <v>660.66000000000008</v>
      </c>
    </row>
    <row r="103" spans="1:7" x14ac:dyDescent="0.2">
      <c r="A103" s="233"/>
      <c r="B103" s="234" t="s">
        <v>66</v>
      </c>
      <c r="C103" s="233"/>
      <c r="D103" s="232">
        <f>D104+D105+D106+D107+D108</f>
        <v>25.599999999999998</v>
      </c>
      <c r="E103" s="232">
        <f t="shared" ref="E103:G103" si="6">E104+E105+E106+E107+E108</f>
        <v>32.01</v>
      </c>
      <c r="F103" s="232">
        <f t="shared" si="6"/>
        <v>64.37</v>
      </c>
      <c r="G103" s="232">
        <f t="shared" si="6"/>
        <v>660.66000000000008</v>
      </c>
    </row>
    <row r="104" spans="1:7" x14ac:dyDescent="0.2">
      <c r="A104" s="238"/>
      <c r="B104" s="236" t="s">
        <v>41</v>
      </c>
      <c r="C104" s="235">
        <v>100</v>
      </c>
      <c r="D104" s="237">
        <v>0.4</v>
      </c>
      <c r="E104" s="237">
        <v>0</v>
      </c>
      <c r="F104" s="237">
        <v>9.8000000000000007</v>
      </c>
      <c r="G104" s="237">
        <v>42.84</v>
      </c>
    </row>
    <row r="105" spans="1:7" x14ac:dyDescent="0.2">
      <c r="A105" s="235" t="s">
        <v>269</v>
      </c>
      <c r="B105" s="236" t="s">
        <v>268</v>
      </c>
      <c r="C105" s="235">
        <v>200</v>
      </c>
      <c r="D105" s="237">
        <v>21.06</v>
      </c>
      <c r="E105" s="237">
        <v>24.33</v>
      </c>
      <c r="F105" s="237">
        <v>3.75</v>
      </c>
      <c r="G105" s="237">
        <v>318.26</v>
      </c>
    </row>
    <row r="106" spans="1:7" ht="25.5" x14ac:dyDescent="0.2">
      <c r="A106" s="235" t="s">
        <v>42</v>
      </c>
      <c r="B106" s="236" t="s">
        <v>224</v>
      </c>
      <c r="C106" s="235">
        <v>200</v>
      </c>
      <c r="D106" s="237">
        <v>1</v>
      </c>
      <c r="E106" s="237">
        <v>0.1</v>
      </c>
      <c r="F106" s="237">
        <v>31</v>
      </c>
      <c r="G106" s="237">
        <v>135</v>
      </c>
    </row>
    <row r="107" spans="1:7" x14ac:dyDescent="0.2">
      <c r="A107" s="235" t="s">
        <v>179</v>
      </c>
      <c r="B107" s="236" t="s">
        <v>136</v>
      </c>
      <c r="C107" s="235">
        <v>10</v>
      </c>
      <c r="D107" s="237">
        <v>0.1</v>
      </c>
      <c r="E107" s="237">
        <v>7.26</v>
      </c>
      <c r="F107" s="237">
        <v>0.14000000000000001</v>
      </c>
      <c r="G107" s="237">
        <v>66.22</v>
      </c>
    </row>
    <row r="108" spans="1:7" x14ac:dyDescent="0.2">
      <c r="A108" s="238"/>
      <c r="B108" s="236" t="s">
        <v>11</v>
      </c>
      <c r="C108" s="235">
        <v>40</v>
      </c>
      <c r="D108" s="237">
        <v>3.04</v>
      </c>
      <c r="E108" s="237">
        <v>0.32</v>
      </c>
      <c r="F108" s="237">
        <v>19.68</v>
      </c>
      <c r="G108" s="237">
        <v>98.34</v>
      </c>
    </row>
    <row r="109" spans="1:7" x14ac:dyDescent="0.2">
      <c r="A109" s="270" t="s">
        <v>252</v>
      </c>
      <c r="B109" s="271"/>
      <c r="C109" s="233">
        <f>C104+C105+C106+C107+C108</f>
        <v>550</v>
      </c>
      <c r="D109" s="237"/>
      <c r="E109" s="237"/>
      <c r="F109" s="237"/>
      <c r="G109" s="237"/>
    </row>
    <row r="110" spans="1:7" x14ac:dyDescent="0.2">
      <c r="A110" s="269" t="s">
        <v>278</v>
      </c>
      <c r="B110" s="269"/>
      <c r="C110" s="269"/>
      <c r="D110" s="232">
        <f>D111</f>
        <v>21.72</v>
      </c>
      <c r="E110" s="232">
        <f>E111</f>
        <v>17.029999999999998</v>
      </c>
      <c r="F110" s="232">
        <f>F111</f>
        <v>101.4</v>
      </c>
      <c r="G110" s="232">
        <f>G111</f>
        <v>663.24</v>
      </c>
    </row>
    <row r="111" spans="1:7" x14ac:dyDescent="0.2">
      <c r="A111" s="233"/>
      <c r="B111" s="234" t="s">
        <v>66</v>
      </c>
      <c r="C111" s="233"/>
      <c r="D111" s="232">
        <f>D112+D113+D114+D115</f>
        <v>21.72</v>
      </c>
      <c r="E111" s="232">
        <f t="shared" ref="E111:G111" si="7">E112+E113+E114+E115</f>
        <v>17.029999999999998</v>
      </c>
      <c r="F111" s="232">
        <f t="shared" si="7"/>
        <v>101.4</v>
      </c>
      <c r="G111" s="232">
        <f t="shared" si="7"/>
        <v>663.24</v>
      </c>
    </row>
    <row r="112" spans="1:7" x14ac:dyDescent="0.2">
      <c r="A112" s="238" t="s">
        <v>271</v>
      </c>
      <c r="B112" s="236" t="s">
        <v>270</v>
      </c>
      <c r="C112" s="235">
        <v>105</v>
      </c>
      <c r="D112" s="237">
        <v>10.25</v>
      </c>
      <c r="E112" s="237">
        <v>12.84</v>
      </c>
      <c r="F112" s="237">
        <v>3.3</v>
      </c>
      <c r="G112" s="237">
        <v>169.76</v>
      </c>
    </row>
    <row r="113" spans="1:7" x14ac:dyDescent="0.2">
      <c r="A113" s="235" t="s">
        <v>33</v>
      </c>
      <c r="B113" s="236" t="s">
        <v>12</v>
      </c>
      <c r="C113" s="235">
        <v>200</v>
      </c>
      <c r="D113" s="237">
        <v>7.52</v>
      </c>
      <c r="E113" s="237">
        <v>3.79</v>
      </c>
      <c r="F113" s="237">
        <v>48</v>
      </c>
      <c r="G113" s="237">
        <v>268</v>
      </c>
    </row>
    <row r="114" spans="1:7" x14ac:dyDescent="0.2">
      <c r="A114" s="238" t="s">
        <v>273</v>
      </c>
      <c r="B114" s="243" t="s">
        <v>272</v>
      </c>
      <c r="C114" s="235">
        <v>200</v>
      </c>
      <c r="D114" s="237">
        <v>0.15</v>
      </c>
      <c r="E114" s="237">
        <v>0</v>
      </c>
      <c r="F114" s="237">
        <v>25.5</v>
      </c>
      <c r="G114" s="237">
        <v>102.58</v>
      </c>
    </row>
    <row r="115" spans="1:7" x14ac:dyDescent="0.2">
      <c r="A115" s="235"/>
      <c r="B115" s="236" t="s">
        <v>11</v>
      </c>
      <c r="C115" s="235">
        <v>50</v>
      </c>
      <c r="D115" s="237">
        <v>3.8</v>
      </c>
      <c r="E115" s="237">
        <v>0.4</v>
      </c>
      <c r="F115" s="237">
        <v>24.6</v>
      </c>
      <c r="G115" s="237">
        <v>122.9</v>
      </c>
    </row>
    <row r="116" spans="1:7" x14ac:dyDescent="0.2">
      <c r="A116" s="270" t="s">
        <v>252</v>
      </c>
      <c r="B116" s="271"/>
      <c r="C116" s="233">
        <f>C115+C114+C113+C112</f>
        <v>555</v>
      </c>
      <c r="D116" s="237"/>
      <c r="E116" s="237"/>
      <c r="F116" s="237"/>
      <c r="G116" s="237"/>
    </row>
    <row r="117" spans="1:7" x14ac:dyDescent="0.2">
      <c r="A117" s="269" t="s">
        <v>279</v>
      </c>
      <c r="B117" s="269"/>
      <c r="C117" s="269"/>
      <c r="D117" s="232">
        <f>D118</f>
        <v>15.45</v>
      </c>
      <c r="E117" s="232">
        <f>E118</f>
        <v>25.664000000000001</v>
      </c>
      <c r="F117" s="232">
        <f>F118</f>
        <v>69.526700000000005</v>
      </c>
      <c r="G117" s="232">
        <f>G118</f>
        <v>592.5</v>
      </c>
    </row>
    <row r="118" spans="1:7" x14ac:dyDescent="0.2">
      <c r="A118" s="233"/>
      <c r="B118" s="234" t="s">
        <v>66</v>
      </c>
      <c r="C118" s="233"/>
      <c r="D118" s="232">
        <f>D119+D120+D121+D122</f>
        <v>15.45</v>
      </c>
      <c r="E118" s="232">
        <f t="shared" ref="E118:G118" si="8">E119+E120+E121+E122</f>
        <v>25.664000000000001</v>
      </c>
      <c r="F118" s="232">
        <f t="shared" si="8"/>
        <v>69.526700000000005</v>
      </c>
      <c r="G118" s="232">
        <f t="shared" si="8"/>
        <v>592.5</v>
      </c>
    </row>
    <row r="119" spans="1:7" x14ac:dyDescent="0.2">
      <c r="A119" s="238" t="s">
        <v>162</v>
      </c>
      <c r="B119" s="236" t="s">
        <v>163</v>
      </c>
      <c r="C119" s="244">
        <v>110</v>
      </c>
      <c r="D119" s="237">
        <v>9.15</v>
      </c>
      <c r="E119" s="237">
        <v>14.97</v>
      </c>
      <c r="F119" s="237">
        <v>10.6</v>
      </c>
      <c r="G119" s="237">
        <v>217.68</v>
      </c>
    </row>
    <row r="120" spans="1:7" x14ac:dyDescent="0.2">
      <c r="A120" s="235" t="s">
        <v>34</v>
      </c>
      <c r="B120" s="236" t="s">
        <v>32</v>
      </c>
      <c r="C120" s="235">
        <v>200</v>
      </c>
      <c r="D120" s="237">
        <v>3.26</v>
      </c>
      <c r="E120" s="237">
        <f>7.8*1.33</f>
        <v>10.374000000000001</v>
      </c>
      <c r="F120" s="237">
        <f>21.99*1.33</f>
        <v>29.246700000000001</v>
      </c>
      <c r="G120" s="237">
        <v>234.48</v>
      </c>
    </row>
    <row r="121" spans="1:7" x14ac:dyDescent="0.2">
      <c r="A121" s="239" t="s">
        <v>182</v>
      </c>
      <c r="B121" s="236" t="s">
        <v>10</v>
      </c>
      <c r="C121" s="239">
        <v>200</v>
      </c>
      <c r="D121" s="237">
        <v>0</v>
      </c>
      <c r="E121" s="237">
        <v>0</v>
      </c>
      <c r="F121" s="237">
        <v>10</v>
      </c>
      <c r="G121" s="237">
        <v>42</v>
      </c>
    </row>
    <row r="122" spans="1:7" x14ac:dyDescent="0.2">
      <c r="A122" s="238"/>
      <c r="B122" s="236" t="s">
        <v>11</v>
      </c>
      <c r="C122" s="235">
        <v>40</v>
      </c>
      <c r="D122" s="237">
        <v>3.04</v>
      </c>
      <c r="E122" s="237">
        <v>0.32</v>
      </c>
      <c r="F122" s="237">
        <v>19.68</v>
      </c>
      <c r="G122" s="237">
        <v>98.34</v>
      </c>
    </row>
    <row r="123" spans="1:7" x14ac:dyDescent="0.2">
      <c r="A123" s="270" t="s">
        <v>252</v>
      </c>
      <c r="B123" s="271"/>
      <c r="C123" s="233">
        <f>SUM(C119:C122)</f>
        <v>550</v>
      </c>
      <c r="D123" s="237"/>
      <c r="E123" s="237"/>
      <c r="F123" s="237"/>
      <c r="G123" s="237"/>
    </row>
    <row r="124" spans="1:7" x14ac:dyDescent="0.2">
      <c r="A124" s="269" t="s">
        <v>280</v>
      </c>
      <c r="B124" s="269"/>
      <c r="C124" s="269"/>
      <c r="D124" s="232">
        <f>D125</f>
        <v>13.350000000000001</v>
      </c>
      <c r="E124" s="232">
        <f t="shared" ref="E124:G124" si="9">E125</f>
        <v>6.7600000000000007</v>
      </c>
      <c r="F124" s="232">
        <f t="shared" si="9"/>
        <v>93.52000000000001</v>
      </c>
      <c r="G124" s="232">
        <f t="shared" si="9"/>
        <v>510.73</v>
      </c>
    </row>
    <row r="125" spans="1:7" x14ac:dyDescent="0.2">
      <c r="A125" s="233"/>
      <c r="B125" s="234" t="s">
        <v>66</v>
      </c>
      <c r="C125" s="233"/>
      <c r="D125" s="232">
        <f>D126+D127+D128+D129</f>
        <v>13.350000000000001</v>
      </c>
      <c r="E125" s="232">
        <f t="shared" ref="E125:G125" si="10">E126+E127+E128+E129</f>
        <v>6.7600000000000007</v>
      </c>
      <c r="F125" s="232">
        <f t="shared" si="10"/>
        <v>93.52000000000001</v>
      </c>
      <c r="G125" s="232">
        <f t="shared" si="10"/>
        <v>510.73</v>
      </c>
    </row>
    <row r="126" spans="1:7" x14ac:dyDescent="0.2">
      <c r="A126" s="238"/>
      <c r="B126" s="236" t="s">
        <v>41</v>
      </c>
      <c r="C126" s="235">
        <v>100</v>
      </c>
      <c r="D126" s="237">
        <v>0.4</v>
      </c>
      <c r="E126" s="237">
        <v>0</v>
      </c>
      <c r="F126" s="237">
        <v>9.8000000000000007</v>
      </c>
      <c r="G126" s="237">
        <v>42.84</v>
      </c>
    </row>
    <row r="127" spans="1:7" ht="25.5" x14ac:dyDescent="0.2">
      <c r="A127" s="235" t="s">
        <v>180</v>
      </c>
      <c r="B127" s="236" t="s">
        <v>209</v>
      </c>
      <c r="C127" s="235">
        <v>203</v>
      </c>
      <c r="D127" s="237">
        <v>7.16</v>
      </c>
      <c r="E127" s="237">
        <v>4.66</v>
      </c>
      <c r="F127" s="237">
        <v>40.520000000000003</v>
      </c>
      <c r="G127" s="237">
        <v>242.96</v>
      </c>
    </row>
    <row r="128" spans="1:7" x14ac:dyDescent="0.2">
      <c r="A128" s="235" t="s">
        <v>183</v>
      </c>
      <c r="B128" s="236" t="s">
        <v>51</v>
      </c>
      <c r="C128" s="235">
        <v>200</v>
      </c>
      <c r="D128" s="237">
        <v>1.99</v>
      </c>
      <c r="E128" s="237">
        <v>1.7</v>
      </c>
      <c r="F128" s="237">
        <v>18.600000000000001</v>
      </c>
      <c r="G128" s="237">
        <v>102.03</v>
      </c>
    </row>
    <row r="129" spans="1:7" x14ac:dyDescent="0.2">
      <c r="A129" s="235"/>
      <c r="B129" s="236" t="s">
        <v>11</v>
      </c>
      <c r="C129" s="235">
        <v>50</v>
      </c>
      <c r="D129" s="237">
        <v>3.8</v>
      </c>
      <c r="E129" s="237">
        <v>0.4</v>
      </c>
      <c r="F129" s="237">
        <v>24.6</v>
      </c>
      <c r="G129" s="237">
        <v>122.9</v>
      </c>
    </row>
    <row r="130" spans="1:7" x14ac:dyDescent="0.2">
      <c r="A130" s="270" t="s">
        <v>252</v>
      </c>
      <c r="B130" s="271"/>
      <c r="C130" s="240">
        <f>C129+C128+C127+C126</f>
        <v>553</v>
      </c>
      <c r="D130" s="241"/>
      <c r="E130" s="241"/>
      <c r="F130" s="241"/>
      <c r="G130" s="241"/>
    </row>
    <row r="131" spans="1:7" x14ac:dyDescent="0.2">
      <c r="A131" s="269" t="s">
        <v>281</v>
      </c>
      <c r="B131" s="269"/>
      <c r="C131" s="269"/>
      <c r="D131" s="232">
        <f>D132</f>
        <v>26.08</v>
      </c>
      <c r="E131" s="232">
        <f>E132</f>
        <v>18.75</v>
      </c>
      <c r="F131" s="232">
        <f>F132</f>
        <v>84.65</v>
      </c>
      <c r="G131" s="232">
        <f>G132</f>
        <v>630.76</v>
      </c>
    </row>
    <row r="132" spans="1:7" x14ac:dyDescent="0.2">
      <c r="A132" s="233"/>
      <c r="B132" s="234" t="s">
        <v>66</v>
      </c>
      <c r="C132" s="233"/>
      <c r="D132" s="232">
        <f>D133+D134+D135+D136</f>
        <v>26.08</v>
      </c>
      <c r="E132" s="232">
        <f t="shared" ref="E132:G132" si="11">E133+E134+E135+E136</f>
        <v>18.75</v>
      </c>
      <c r="F132" s="232">
        <f t="shared" si="11"/>
        <v>84.65</v>
      </c>
      <c r="G132" s="232">
        <f t="shared" si="11"/>
        <v>630.76</v>
      </c>
    </row>
    <row r="133" spans="1:7" x14ac:dyDescent="0.2">
      <c r="A133" s="238" t="s">
        <v>275</v>
      </c>
      <c r="B133" s="236" t="s">
        <v>274</v>
      </c>
      <c r="C133" s="235">
        <v>110</v>
      </c>
      <c r="D133" s="237">
        <v>14.37</v>
      </c>
      <c r="E133" s="237">
        <v>14.64</v>
      </c>
      <c r="F133" s="237">
        <v>4.9400000000000004</v>
      </c>
      <c r="G133" s="237">
        <v>209.02</v>
      </c>
    </row>
    <row r="134" spans="1:7" x14ac:dyDescent="0.2">
      <c r="A134" s="235" t="s">
        <v>33</v>
      </c>
      <c r="B134" s="236" t="s">
        <v>12</v>
      </c>
      <c r="C134" s="235">
        <v>200</v>
      </c>
      <c r="D134" s="237">
        <v>7.52</v>
      </c>
      <c r="E134" s="237">
        <v>3.79</v>
      </c>
      <c r="F134" s="237">
        <v>48</v>
      </c>
      <c r="G134" s="237">
        <v>268</v>
      </c>
    </row>
    <row r="135" spans="1:7" x14ac:dyDescent="0.2">
      <c r="A135" s="235" t="s">
        <v>42</v>
      </c>
      <c r="B135" s="236" t="s">
        <v>223</v>
      </c>
      <c r="C135" s="235">
        <v>200</v>
      </c>
      <c r="D135" s="237">
        <v>1.1499999999999999</v>
      </c>
      <c r="E135" s="237"/>
      <c r="F135" s="237">
        <v>12.03</v>
      </c>
      <c r="G135" s="237">
        <v>55.4</v>
      </c>
    </row>
    <row r="136" spans="1:7" x14ac:dyDescent="0.2">
      <c r="A136" s="235"/>
      <c r="B136" s="236" t="s">
        <v>11</v>
      </c>
      <c r="C136" s="235">
        <v>40</v>
      </c>
      <c r="D136" s="237">
        <v>3.04</v>
      </c>
      <c r="E136" s="237">
        <v>0.32</v>
      </c>
      <c r="F136" s="237">
        <v>19.68</v>
      </c>
      <c r="G136" s="237">
        <v>98.34</v>
      </c>
    </row>
    <row r="137" spans="1:7" x14ac:dyDescent="0.2">
      <c r="A137" s="270" t="s">
        <v>252</v>
      </c>
      <c r="B137" s="271"/>
      <c r="C137" s="240">
        <f>C133+C134+C135+C136</f>
        <v>550</v>
      </c>
      <c r="D137" s="241"/>
      <c r="E137" s="241"/>
      <c r="F137" s="241"/>
      <c r="G137" s="241"/>
    </row>
    <row r="138" spans="1:7" x14ac:dyDescent="0.2">
      <c r="A138" s="269" t="s">
        <v>282</v>
      </c>
      <c r="B138" s="269"/>
      <c r="C138" s="269"/>
      <c r="D138" s="232">
        <f>D139</f>
        <v>23.534000000000002</v>
      </c>
      <c r="E138" s="232">
        <f>E139</f>
        <v>25.675999999999998</v>
      </c>
      <c r="F138" s="232">
        <f>F139</f>
        <v>97.707999999999998</v>
      </c>
      <c r="G138" s="232">
        <f>G139</f>
        <v>736.54</v>
      </c>
    </row>
    <row r="139" spans="1:7" x14ac:dyDescent="0.2">
      <c r="A139" s="233"/>
      <c r="B139" s="234" t="s">
        <v>66</v>
      </c>
      <c r="C139" s="233"/>
      <c r="D139" s="232">
        <f>D140+D141+D142+D143+D144</f>
        <v>23.534000000000002</v>
      </c>
      <c r="E139" s="232">
        <f t="shared" ref="E139:G139" si="12">E140+E141+E142+E143+E144</f>
        <v>25.675999999999998</v>
      </c>
      <c r="F139" s="232">
        <f t="shared" si="12"/>
        <v>97.707999999999998</v>
      </c>
      <c r="G139" s="232">
        <f t="shared" si="12"/>
        <v>736.54</v>
      </c>
    </row>
    <row r="140" spans="1:7" x14ac:dyDescent="0.2">
      <c r="A140" s="235" t="s">
        <v>277</v>
      </c>
      <c r="B140" s="236" t="s">
        <v>276</v>
      </c>
      <c r="C140" s="235">
        <v>100</v>
      </c>
      <c r="D140" s="237">
        <v>11.31</v>
      </c>
      <c r="E140" s="237">
        <v>10.82</v>
      </c>
      <c r="F140" s="237">
        <v>11.3</v>
      </c>
      <c r="G140" s="237">
        <v>187.84</v>
      </c>
    </row>
    <row r="141" spans="1:7" x14ac:dyDescent="0.2">
      <c r="A141" s="235" t="s">
        <v>132</v>
      </c>
      <c r="B141" s="236" t="s">
        <v>133</v>
      </c>
      <c r="C141" s="235">
        <v>180</v>
      </c>
      <c r="D141" s="237">
        <f>5.77*1.2</f>
        <v>6.9239999999999995</v>
      </c>
      <c r="E141" s="237">
        <f>10.08*1.2</f>
        <v>12.096</v>
      </c>
      <c r="F141" s="237">
        <f>30.69*1.2</f>
        <v>36.828000000000003</v>
      </c>
      <c r="G141" s="237">
        <f>244*1.2</f>
        <v>292.8</v>
      </c>
    </row>
    <row r="142" spans="1:7" x14ac:dyDescent="0.2">
      <c r="A142" s="238"/>
      <c r="B142" s="236" t="s">
        <v>62</v>
      </c>
      <c r="C142" s="235">
        <v>20</v>
      </c>
      <c r="D142" s="237">
        <v>1.5</v>
      </c>
      <c r="E142" s="237">
        <v>2.36</v>
      </c>
      <c r="F142" s="237">
        <v>14.98</v>
      </c>
      <c r="G142" s="237">
        <v>91</v>
      </c>
    </row>
    <row r="143" spans="1:7" x14ac:dyDescent="0.2">
      <c r="A143" s="238" t="s">
        <v>182</v>
      </c>
      <c r="B143" s="236" t="s">
        <v>10</v>
      </c>
      <c r="C143" s="239">
        <v>200</v>
      </c>
      <c r="D143" s="237">
        <v>0</v>
      </c>
      <c r="E143" s="237">
        <v>0</v>
      </c>
      <c r="F143" s="237">
        <v>10</v>
      </c>
      <c r="G143" s="237">
        <v>42</v>
      </c>
    </row>
    <row r="144" spans="1:7" x14ac:dyDescent="0.2">
      <c r="A144" s="235"/>
      <c r="B144" s="236" t="s">
        <v>11</v>
      </c>
      <c r="C144" s="235">
        <v>50</v>
      </c>
      <c r="D144" s="237">
        <v>3.8</v>
      </c>
      <c r="E144" s="237">
        <v>0.4</v>
      </c>
      <c r="F144" s="237">
        <v>24.6</v>
      </c>
      <c r="G144" s="237">
        <v>122.9</v>
      </c>
    </row>
    <row r="145" spans="1:7" x14ac:dyDescent="0.2">
      <c r="A145" s="270" t="s">
        <v>252</v>
      </c>
      <c r="B145" s="271"/>
      <c r="C145" s="245">
        <f>SUM(C140:C144)</f>
        <v>550</v>
      </c>
      <c r="D145" s="237"/>
      <c r="E145" s="237"/>
      <c r="F145" s="237"/>
      <c r="G145" s="237"/>
    </row>
    <row r="146" spans="1:7" x14ac:dyDescent="0.2">
      <c r="A146" s="269" t="s">
        <v>285</v>
      </c>
      <c r="B146" s="269"/>
      <c r="C146" s="269"/>
      <c r="D146" s="232">
        <f>D147</f>
        <v>24.052</v>
      </c>
      <c r="E146" s="232">
        <f>E147</f>
        <v>12.404</v>
      </c>
      <c r="F146" s="232">
        <f>F147</f>
        <v>88.18</v>
      </c>
      <c r="G146" s="232">
        <f>G147</f>
        <v>578.94600000000003</v>
      </c>
    </row>
    <row r="147" spans="1:7" x14ac:dyDescent="0.2">
      <c r="A147" s="233"/>
      <c r="B147" s="234" t="s">
        <v>66</v>
      </c>
      <c r="C147" s="233"/>
      <c r="D147" s="232">
        <f>D148+D149+D150+D151+D152</f>
        <v>24.052</v>
      </c>
      <c r="E147" s="232">
        <f t="shared" ref="E147:G147" si="13">E148+E149+E150+E151+E152</f>
        <v>12.404</v>
      </c>
      <c r="F147" s="232">
        <f t="shared" si="13"/>
        <v>88.18</v>
      </c>
      <c r="G147" s="232">
        <f t="shared" si="13"/>
        <v>578.94600000000003</v>
      </c>
    </row>
    <row r="148" spans="1:7" x14ac:dyDescent="0.2">
      <c r="A148" s="235" t="s">
        <v>284</v>
      </c>
      <c r="B148" s="236" t="s">
        <v>283</v>
      </c>
      <c r="C148" s="235">
        <v>100</v>
      </c>
      <c r="D148" s="237">
        <v>16.170000000000002</v>
      </c>
      <c r="E148" s="237">
        <v>5.82</v>
      </c>
      <c r="F148" s="237">
        <v>9.1999999999999993</v>
      </c>
      <c r="G148" s="237">
        <v>153.93</v>
      </c>
    </row>
    <row r="149" spans="1:7" x14ac:dyDescent="0.2">
      <c r="A149" s="238" t="s">
        <v>189</v>
      </c>
      <c r="B149" s="236" t="s">
        <v>159</v>
      </c>
      <c r="C149" s="235">
        <v>180</v>
      </c>
      <c r="D149" s="237">
        <f>3.81*1.2</f>
        <v>4.5720000000000001</v>
      </c>
      <c r="E149" s="237">
        <f>2.72*1.2</f>
        <v>3.2640000000000002</v>
      </c>
      <c r="F149" s="237">
        <f>40*1.2</f>
        <v>48</v>
      </c>
      <c r="G149" s="237">
        <f>208.48*1.2</f>
        <v>250.17599999999999</v>
      </c>
    </row>
    <row r="150" spans="1:7" x14ac:dyDescent="0.2">
      <c r="A150" s="239" t="s">
        <v>191</v>
      </c>
      <c r="B150" s="236" t="s">
        <v>171</v>
      </c>
      <c r="C150" s="235">
        <v>30</v>
      </c>
      <c r="D150" s="237">
        <v>0.27</v>
      </c>
      <c r="E150" s="237">
        <v>3</v>
      </c>
      <c r="F150" s="237">
        <v>1.3</v>
      </c>
      <c r="G150" s="237">
        <v>34.5</v>
      </c>
    </row>
    <row r="151" spans="1:7" x14ac:dyDescent="0.2">
      <c r="A151" s="238" t="s">
        <v>182</v>
      </c>
      <c r="B151" s="236" t="s">
        <v>10</v>
      </c>
      <c r="C151" s="239">
        <v>200</v>
      </c>
      <c r="D151" s="237">
        <v>0</v>
      </c>
      <c r="E151" s="237">
        <v>0</v>
      </c>
      <c r="F151" s="237">
        <v>10</v>
      </c>
      <c r="G151" s="237">
        <v>42</v>
      </c>
    </row>
    <row r="152" spans="1:7" x14ac:dyDescent="0.2">
      <c r="A152" s="235"/>
      <c r="B152" s="236" t="s">
        <v>11</v>
      </c>
      <c r="C152" s="235">
        <v>40</v>
      </c>
      <c r="D152" s="237">
        <v>3.04</v>
      </c>
      <c r="E152" s="237">
        <v>0.32</v>
      </c>
      <c r="F152" s="237">
        <v>19.68</v>
      </c>
      <c r="G152" s="237">
        <v>98.34</v>
      </c>
    </row>
    <row r="153" spans="1:7" x14ac:dyDescent="0.2">
      <c r="A153" s="270" t="s">
        <v>252</v>
      </c>
      <c r="B153" s="271"/>
      <c r="C153" s="233">
        <f>SUM(C148:C152)</f>
        <v>550</v>
      </c>
      <c r="D153" s="237"/>
      <c r="E153" s="237"/>
      <c r="F153" s="237"/>
      <c r="G153" s="237"/>
    </row>
    <row r="154" spans="1:7" x14ac:dyDescent="0.2">
      <c r="A154" s="269" t="s">
        <v>286</v>
      </c>
      <c r="B154" s="269"/>
      <c r="C154" s="269"/>
      <c r="D154" s="232">
        <f>D155</f>
        <v>37.4</v>
      </c>
      <c r="E154" s="232">
        <f>E155</f>
        <v>12.25</v>
      </c>
      <c r="F154" s="232">
        <f>F155</f>
        <v>90.02000000000001</v>
      </c>
      <c r="G154" s="232">
        <f>G155</f>
        <v>628.7700000000001</v>
      </c>
    </row>
    <row r="155" spans="1:7" x14ac:dyDescent="0.2">
      <c r="A155" s="233"/>
      <c r="B155" s="234" t="s">
        <v>66</v>
      </c>
      <c r="C155" s="233"/>
      <c r="D155" s="232">
        <f>D156+D157+D158+D159</f>
        <v>37.4</v>
      </c>
      <c r="E155" s="232">
        <f t="shared" ref="E155:G155" si="14">E156+E157+E158+E159</f>
        <v>12.25</v>
      </c>
      <c r="F155" s="232">
        <f t="shared" si="14"/>
        <v>90.02000000000001</v>
      </c>
      <c r="G155" s="232">
        <f t="shared" si="14"/>
        <v>628.7700000000001</v>
      </c>
    </row>
    <row r="156" spans="1:7" x14ac:dyDescent="0.2">
      <c r="A156" s="238"/>
      <c r="B156" s="236" t="s">
        <v>41</v>
      </c>
      <c r="C156" s="235">
        <v>110</v>
      </c>
      <c r="D156" s="237">
        <v>0.44</v>
      </c>
      <c r="E156" s="237">
        <v>0</v>
      </c>
      <c r="F156" s="237">
        <v>10.78</v>
      </c>
      <c r="G156" s="237">
        <v>47.12</v>
      </c>
    </row>
    <row r="157" spans="1:7" x14ac:dyDescent="0.2">
      <c r="A157" s="235" t="s">
        <v>288</v>
      </c>
      <c r="B157" s="236" t="s">
        <v>287</v>
      </c>
      <c r="C157" s="235">
        <v>200</v>
      </c>
      <c r="D157" s="237">
        <v>33.92</v>
      </c>
      <c r="E157" s="237">
        <v>11.93</v>
      </c>
      <c r="F157" s="237">
        <v>49.56</v>
      </c>
      <c r="G157" s="237">
        <v>441.31</v>
      </c>
    </row>
    <row r="158" spans="1:7" x14ac:dyDescent="0.2">
      <c r="A158" s="238" t="s">
        <v>182</v>
      </c>
      <c r="B158" s="236" t="s">
        <v>10</v>
      </c>
      <c r="C158" s="239">
        <v>200</v>
      </c>
      <c r="D158" s="237">
        <v>0</v>
      </c>
      <c r="E158" s="237">
        <v>0</v>
      </c>
      <c r="F158" s="237">
        <v>10</v>
      </c>
      <c r="G158" s="237">
        <v>42</v>
      </c>
    </row>
    <row r="159" spans="1:7" x14ac:dyDescent="0.2">
      <c r="A159" s="238"/>
      <c r="B159" s="243" t="s">
        <v>11</v>
      </c>
      <c r="C159" s="238">
        <v>40</v>
      </c>
      <c r="D159" s="241">
        <v>3.04</v>
      </c>
      <c r="E159" s="241">
        <v>0.32</v>
      </c>
      <c r="F159" s="241">
        <v>19.68</v>
      </c>
      <c r="G159" s="241">
        <v>98.34</v>
      </c>
    </row>
    <row r="160" spans="1:7" x14ac:dyDescent="0.2">
      <c r="A160" s="270" t="s">
        <v>252</v>
      </c>
      <c r="B160" s="271"/>
      <c r="C160" s="245">
        <f>SUM(C156:C159)</f>
        <v>550</v>
      </c>
      <c r="D160" s="235"/>
      <c r="E160" s="235"/>
      <c r="F160" s="235"/>
      <c r="G160" s="235"/>
    </row>
  </sheetData>
  <mergeCells count="47">
    <mergeCell ref="A145:B145"/>
    <mergeCell ref="A146:C146"/>
    <mergeCell ref="A153:B153"/>
    <mergeCell ref="A154:C154"/>
    <mergeCell ref="A160:B160"/>
    <mergeCell ref="A124:C124"/>
    <mergeCell ref="A130:B130"/>
    <mergeCell ref="A131:C131"/>
    <mergeCell ref="A137:B137"/>
    <mergeCell ref="A138:C138"/>
    <mergeCell ref="A109:B109"/>
    <mergeCell ref="A110:C110"/>
    <mergeCell ref="A116:B116"/>
    <mergeCell ref="A117:C117"/>
    <mergeCell ref="A123:B123"/>
    <mergeCell ref="A85:C85"/>
    <mergeCell ref="A93:B93"/>
    <mergeCell ref="A94:C94"/>
    <mergeCell ref="A101:B101"/>
    <mergeCell ref="A102:C102"/>
    <mergeCell ref="A76:B76"/>
    <mergeCell ref="A39:B39"/>
    <mergeCell ref="A46:B46"/>
    <mergeCell ref="A53:B53"/>
    <mergeCell ref="A61:B61"/>
    <mergeCell ref="A68:B68"/>
    <mergeCell ref="G5:G6"/>
    <mergeCell ref="A8:C8"/>
    <mergeCell ref="A18:B18"/>
    <mergeCell ref="A25:B25"/>
    <mergeCell ref="A32:B32"/>
    <mergeCell ref="A84:B84"/>
    <mergeCell ref="A1:G2"/>
    <mergeCell ref="A3:G4"/>
    <mergeCell ref="A5:A6"/>
    <mergeCell ref="B5:B6"/>
    <mergeCell ref="C5:C6"/>
    <mergeCell ref="A54:C54"/>
    <mergeCell ref="A19:C19"/>
    <mergeCell ref="A26:C26"/>
    <mergeCell ref="A33:C33"/>
    <mergeCell ref="A40:C40"/>
    <mergeCell ref="A47:C47"/>
    <mergeCell ref="A62:C62"/>
    <mergeCell ref="A69:C69"/>
    <mergeCell ref="A77:C77"/>
    <mergeCell ref="D5:F5"/>
  </mergeCells>
  <pageMargins left="0.75" right="0.75" top="1" bottom="1" header="0.5" footer="0.5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312"/>
  <sheetViews>
    <sheetView topLeftCell="A280" zoomScale="112" zoomScaleNormal="112" workbookViewId="0">
      <selection sqref="A1:G312"/>
    </sheetView>
  </sheetViews>
  <sheetFormatPr defaultRowHeight="12.75" x14ac:dyDescent="0.2"/>
  <cols>
    <col min="1" max="1" width="11" style="197" customWidth="1"/>
    <col min="2" max="2" width="37" style="212" customWidth="1"/>
    <col min="3" max="3" width="10" style="197" customWidth="1"/>
    <col min="4" max="4" width="7.85546875" style="197" customWidth="1"/>
    <col min="5" max="5" width="8.7109375" style="197" customWidth="1"/>
    <col min="6" max="6" width="8.42578125" style="197" customWidth="1"/>
    <col min="7" max="7" width="11" style="197" customWidth="1"/>
    <col min="8" max="16384" width="9.140625" style="185"/>
  </cols>
  <sheetData>
    <row r="1" spans="1:7" ht="12.75" customHeight="1" x14ac:dyDescent="0.2">
      <c r="A1" s="267" t="s">
        <v>255</v>
      </c>
      <c r="B1" s="267"/>
      <c r="C1" s="267"/>
      <c r="D1" s="267"/>
      <c r="E1" s="267"/>
      <c r="F1" s="267"/>
      <c r="G1" s="267"/>
    </row>
    <row r="2" spans="1:7" x14ac:dyDescent="0.2">
      <c r="A2" s="267"/>
      <c r="B2" s="267"/>
      <c r="C2" s="267"/>
      <c r="D2" s="267"/>
      <c r="E2" s="267"/>
      <c r="F2" s="267"/>
      <c r="G2" s="267"/>
    </row>
    <row r="3" spans="1:7" ht="12.75" customHeight="1" x14ac:dyDescent="0.2">
      <c r="A3" s="264" t="s">
        <v>256</v>
      </c>
      <c r="B3" s="264"/>
      <c r="C3" s="264"/>
      <c r="D3" s="264"/>
      <c r="E3" s="264"/>
      <c r="F3" s="264"/>
      <c r="G3" s="264"/>
    </row>
    <row r="4" spans="1:7" ht="30.75" customHeight="1" x14ac:dyDescent="0.2">
      <c r="A4" s="265"/>
      <c r="B4" s="265"/>
      <c r="C4" s="265"/>
      <c r="D4" s="265"/>
      <c r="E4" s="265"/>
      <c r="F4" s="265"/>
      <c r="G4" s="265"/>
    </row>
    <row r="5" spans="1:7" ht="33.75" customHeight="1" x14ac:dyDescent="0.2">
      <c r="A5" s="268" t="s">
        <v>239</v>
      </c>
      <c r="B5" s="268" t="s">
        <v>240</v>
      </c>
      <c r="C5" s="268" t="s">
        <v>241</v>
      </c>
      <c r="D5" s="268" t="s">
        <v>242</v>
      </c>
      <c r="E5" s="268"/>
      <c r="F5" s="268"/>
      <c r="G5" s="268" t="s">
        <v>23</v>
      </c>
    </row>
    <row r="6" spans="1:7" ht="34.5" customHeight="1" x14ac:dyDescent="0.2">
      <c r="A6" s="268"/>
      <c r="B6" s="268"/>
      <c r="C6" s="268"/>
      <c r="D6" s="187" t="s">
        <v>17</v>
      </c>
      <c r="E6" s="187" t="s">
        <v>19</v>
      </c>
      <c r="F6" s="187" t="s">
        <v>21</v>
      </c>
      <c r="G6" s="26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66" t="s">
        <v>243</v>
      </c>
      <c r="B8" s="266"/>
      <c r="C8" s="266"/>
      <c r="D8" s="186">
        <f>D9+D19</f>
        <v>41.209999999999994</v>
      </c>
      <c r="E8" s="186">
        <f t="shared" ref="E8:F8" si="0">E9+E19</f>
        <v>45.019999999999996</v>
      </c>
      <c r="F8" s="186">
        <f t="shared" si="0"/>
        <v>190.07000000000002</v>
      </c>
      <c r="G8" s="186">
        <f>G9+G19</f>
        <v>1377.0500000000002</v>
      </c>
    </row>
    <row r="9" spans="1:7" x14ac:dyDescent="0.2">
      <c r="A9" s="187"/>
      <c r="B9" s="266" t="s">
        <v>66</v>
      </c>
      <c r="C9" s="266"/>
      <c r="D9" s="186">
        <f>D10+D11+D12+D13+D14+D15</f>
        <v>16.41</v>
      </c>
      <c r="E9" s="186">
        <f>E10+E11+E12+E13+E14+E15</f>
        <v>19.869999999999997</v>
      </c>
      <c r="F9" s="186">
        <f>F10+F11+F12+F13+F14+F15</f>
        <v>99.29000000000002</v>
      </c>
      <c r="G9" s="186">
        <f>G10+G11+G12+G13+G14+G15</f>
        <v>665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203</v>
      </c>
      <c r="C12" s="189">
        <v>205</v>
      </c>
      <c r="D12" s="190">
        <v>6.81</v>
      </c>
      <c r="E12" s="190">
        <v>10.45</v>
      </c>
      <c r="F12" s="190">
        <v>29.51</v>
      </c>
      <c r="G12" s="190">
        <v>246.6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40</v>
      </c>
      <c r="D15" s="190">
        <v>3.04</v>
      </c>
      <c r="E15" s="190">
        <v>0.32</v>
      </c>
      <c r="F15" s="190">
        <v>19.68</v>
      </c>
      <c r="G15" s="190">
        <v>98.34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83" t="s">
        <v>252</v>
      </c>
      <c r="B18" s="283"/>
      <c r="C18" s="207">
        <f>SUM(C10:C17)</f>
        <v>500</v>
      </c>
      <c r="D18" s="192"/>
      <c r="E18" s="192"/>
      <c r="F18" s="192"/>
      <c r="G18" s="192"/>
    </row>
    <row r="19" spans="1:7" x14ac:dyDescent="0.2">
      <c r="A19" s="196"/>
      <c r="B19" s="284" t="s">
        <v>67</v>
      </c>
      <c r="C19" s="284"/>
      <c r="D19" s="217">
        <f>D20+D21+D22+D23+D24</f>
        <v>24.799999999999997</v>
      </c>
      <c r="E19" s="217">
        <f t="shared" ref="E19:F19" si="1">E20+E21+E22+E23+E24</f>
        <v>25.15</v>
      </c>
      <c r="F19" s="217">
        <f t="shared" si="1"/>
        <v>90.78</v>
      </c>
      <c r="G19" s="217">
        <f>G20+G21+G22+G23+G24</f>
        <v>712.05000000000007</v>
      </c>
    </row>
    <row r="20" spans="1:7" x14ac:dyDescent="0.2">
      <c r="A20" s="189" t="s">
        <v>192</v>
      </c>
      <c r="B20" s="182" t="s">
        <v>137</v>
      </c>
      <c r="C20" s="189">
        <v>60</v>
      </c>
      <c r="D20" s="190">
        <v>0.94</v>
      </c>
      <c r="E20" s="190">
        <v>3.06</v>
      </c>
      <c r="F20" s="190">
        <v>5.66</v>
      </c>
      <c r="G20" s="190">
        <v>55.26</v>
      </c>
    </row>
    <row r="21" spans="1:7" ht="12.75" customHeight="1" x14ac:dyDescent="0.2">
      <c r="A21" s="189" t="s">
        <v>184</v>
      </c>
      <c r="B21" s="182" t="s">
        <v>138</v>
      </c>
      <c r="C21" s="189">
        <v>205</v>
      </c>
      <c r="D21" s="190">
        <v>3.09</v>
      </c>
      <c r="E21" s="190">
        <v>4.6100000000000003</v>
      </c>
      <c r="F21" s="190">
        <v>12.54</v>
      </c>
      <c r="G21" s="190">
        <v>107.36</v>
      </c>
    </row>
    <row r="22" spans="1:7" x14ac:dyDescent="0.2">
      <c r="A22" s="196" t="s">
        <v>188</v>
      </c>
      <c r="B22" s="182" t="s">
        <v>139</v>
      </c>
      <c r="C22" s="189">
        <v>200</v>
      </c>
      <c r="D22" s="190">
        <v>17.73</v>
      </c>
      <c r="E22" s="190">
        <v>17.16</v>
      </c>
      <c r="F22" s="190">
        <v>42.9</v>
      </c>
      <c r="G22" s="190">
        <v>409.09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40</v>
      </c>
      <c r="D24" s="190">
        <v>3.04</v>
      </c>
      <c r="E24" s="190">
        <v>0.32</v>
      </c>
      <c r="F24" s="190">
        <v>19.68</v>
      </c>
      <c r="G24" s="190">
        <v>98.34</v>
      </c>
    </row>
    <row r="25" spans="1:7" x14ac:dyDescent="0.2">
      <c r="A25" s="283" t="s">
        <v>252</v>
      </c>
      <c r="B25" s="283"/>
      <c r="C25" s="207">
        <f>SUM(C20:C24)</f>
        <v>705</v>
      </c>
      <c r="D25" s="192"/>
      <c r="E25" s="192"/>
      <c r="F25" s="192"/>
      <c r="G25" s="192"/>
    </row>
    <row r="26" spans="1:7" ht="27.95" customHeight="1" x14ac:dyDescent="0.2">
      <c r="A26" s="266" t="s">
        <v>244</v>
      </c>
      <c r="B26" s="266"/>
      <c r="C26" s="266"/>
      <c r="D26" s="186">
        <f t="shared" ref="D26:F26" si="2">D27+D33</f>
        <v>38.590000000000003</v>
      </c>
      <c r="E26" s="186">
        <f t="shared" si="2"/>
        <v>48.870000000000005</v>
      </c>
      <c r="F26" s="186">
        <f t="shared" si="2"/>
        <v>159.05000000000001</v>
      </c>
      <c r="G26" s="186">
        <f>G27+G33</f>
        <v>1270.69</v>
      </c>
    </row>
    <row r="27" spans="1:7" x14ac:dyDescent="0.2">
      <c r="A27" s="187"/>
      <c r="B27" s="266" t="s">
        <v>66</v>
      </c>
      <c r="C27" s="266"/>
      <c r="D27" s="186">
        <f>D28+D29+D30+D31</f>
        <v>12.620000000000001</v>
      </c>
      <c r="E27" s="186">
        <f>E28+E29+E30+E31</f>
        <v>16.91</v>
      </c>
      <c r="F27" s="186">
        <f>F28+F29+F30+F31</f>
        <v>71.039999999999992</v>
      </c>
      <c r="G27" s="186">
        <f>G28+G29+G30+G31</f>
        <v>503.65</v>
      </c>
    </row>
    <row r="28" spans="1:7" x14ac:dyDescent="0.2">
      <c r="A28" s="189" t="s">
        <v>226</v>
      </c>
      <c r="B28" s="182" t="s">
        <v>140</v>
      </c>
      <c r="C28" s="189">
        <v>115</v>
      </c>
      <c r="D28" s="190">
        <v>6.32</v>
      </c>
      <c r="E28" s="190">
        <v>8.7899999999999991</v>
      </c>
      <c r="F28" s="190">
        <v>19.37</v>
      </c>
      <c r="G28" s="190">
        <v>187.01</v>
      </c>
    </row>
    <row r="29" spans="1:7" x14ac:dyDescent="0.2">
      <c r="A29" s="196" t="s">
        <v>34</v>
      </c>
      <c r="B29" s="182" t="s">
        <v>32</v>
      </c>
      <c r="C29" s="189">
        <v>150</v>
      </c>
      <c r="D29" s="190">
        <v>3.26</v>
      </c>
      <c r="E29" s="190">
        <v>7.8</v>
      </c>
      <c r="F29" s="190">
        <v>21.99</v>
      </c>
      <c r="G29" s="190">
        <v>176.3</v>
      </c>
    </row>
    <row r="30" spans="1:7" x14ac:dyDescent="0.2">
      <c r="A30" s="196" t="s">
        <v>182</v>
      </c>
      <c r="B30" s="182" t="s">
        <v>10</v>
      </c>
      <c r="C30" s="189">
        <v>200</v>
      </c>
      <c r="D30" s="190">
        <v>0</v>
      </c>
      <c r="E30" s="190">
        <v>0</v>
      </c>
      <c r="F30" s="190">
        <v>10</v>
      </c>
      <c r="G30" s="190">
        <v>42</v>
      </c>
    </row>
    <row r="31" spans="1:7" x14ac:dyDescent="0.2">
      <c r="A31" s="189"/>
      <c r="B31" s="182" t="s">
        <v>11</v>
      </c>
      <c r="C31" s="189">
        <v>40</v>
      </c>
      <c r="D31" s="190">
        <v>3.04</v>
      </c>
      <c r="E31" s="190">
        <v>0.32</v>
      </c>
      <c r="F31" s="190">
        <v>19.68</v>
      </c>
      <c r="G31" s="190">
        <v>98.34</v>
      </c>
    </row>
    <row r="32" spans="1:7" x14ac:dyDescent="0.2">
      <c r="A32" s="283" t="s">
        <v>252</v>
      </c>
      <c r="B32" s="283"/>
      <c r="C32" s="187">
        <f>SUM(C28:C31)</f>
        <v>505</v>
      </c>
      <c r="D32" s="190"/>
      <c r="E32" s="190"/>
      <c r="F32" s="190"/>
      <c r="G32" s="190"/>
    </row>
    <row r="33" spans="1:7" x14ac:dyDescent="0.2">
      <c r="A33" s="189"/>
      <c r="B33" s="284" t="s">
        <v>67</v>
      </c>
      <c r="C33" s="284"/>
      <c r="D33" s="186">
        <f>D34+D35+D36+D37+D38+D39</f>
        <v>25.97</v>
      </c>
      <c r="E33" s="186">
        <f>E34+E35+E36+E37+E38+E39</f>
        <v>31.96</v>
      </c>
      <c r="F33" s="186">
        <f>F34+F35+F36+F37+F38+F39</f>
        <v>88.01</v>
      </c>
      <c r="G33" s="186">
        <f>G34+G35+G36+G37+G38+G39</f>
        <v>767.04</v>
      </c>
    </row>
    <row r="34" spans="1:7" x14ac:dyDescent="0.2">
      <c r="A34" s="189" t="s">
        <v>68</v>
      </c>
      <c r="B34" s="182" t="s">
        <v>69</v>
      </c>
      <c r="C34" s="189">
        <v>60</v>
      </c>
      <c r="D34" s="190">
        <v>0.84</v>
      </c>
      <c r="E34" s="190">
        <v>3.06</v>
      </c>
      <c r="F34" s="190">
        <v>6.83</v>
      </c>
      <c r="G34" s="190">
        <v>59.75</v>
      </c>
    </row>
    <row r="35" spans="1:7" ht="25.5" x14ac:dyDescent="0.2">
      <c r="A35" s="189" t="s">
        <v>185</v>
      </c>
      <c r="B35" s="182" t="s">
        <v>141</v>
      </c>
      <c r="C35" s="189">
        <v>205</v>
      </c>
      <c r="D35" s="190">
        <v>2.57</v>
      </c>
      <c r="E35" s="190">
        <v>9.24</v>
      </c>
      <c r="F35" s="190">
        <v>18.04</v>
      </c>
      <c r="G35" s="190">
        <v>169.72</v>
      </c>
    </row>
    <row r="36" spans="1:7" x14ac:dyDescent="0.2">
      <c r="A36" s="196" t="s">
        <v>43</v>
      </c>
      <c r="B36" s="182" t="s">
        <v>65</v>
      </c>
      <c r="C36" s="189">
        <v>100</v>
      </c>
      <c r="D36" s="190">
        <v>14.25</v>
      </c>
      <c r="E36" s="190">
        <v>16.66</v>
      </c>
      <c r="F36" s="190">
        <v>5.27</v>
      </c>
      <c r="G36" s="190">
        <v>232</v>
      </c>
    </row>
    <row r="37" spans="1:7" x14ac:dyDescent="0.2">
      <c r="A37" s="189" t="s">
        <v>33</v>
      </c>
      <c r="B37" s="182" t="s">
        <v>12</v>
      </c>
      <c r="C37" s="189">
        <v>150</v>
      </c>
      <c r="D37" s="190">
        <v>5.64</v>
      </c>
      <c r="E37" s="190">
        <v>2.84</v>
      </c>
      <c r="F37" s="190">
        <v>36</v>
      </c>
      <c r="G37" s="190">
        <v>201</v>
      </c>
    </row>
    <row r="38" spans="1:7" x14ac:dyDescent="0.2">
      <c r="A38" s="196" t="s">
        <v>42</v>
      </c>
      <c r="B38" s="191" t="s">
        <v>223</v>
      </c>
      <c r="C38" s="189">
        <v>200</v>
      </c>
      <c r="D38" s="190">
        <v>1.1499999999999999</v>
      </c>
      <c r="E38" s="190"/>
      <c r="F38" s="190">
        <v>12.03</v>
      </c>
      <c r="G38" s="190">
        <v>55.4</v>
      </c>
    </row>
    <row r="39" spans="1:7" x14ac:dyDescent="0.2">
      <c r="A39" s="189"/>
      <c r="B39" s="182" t="s">
        <v>11</v>
      </c>
      <c r="C39" s="189">
        <v>20</v>
      </c>
      <c r="D39" s="190">
        <v>1.52</v>
      </c>
      <c r="E39" s="190">
        <v>0.16</v>
      </c>
      <c r="F39" s="190">
        <v>9.84</v>
      </c>
      <c r="G39" s="190">
        <v>49.17</v>
      </c>
    </row>
    <row r="40" spans="1:7" x14ac:dyDescent="0.2">
      <c r="A40" s="283" t="s">
        <v>252</v>
      </c>
      <c r="B40" s="283"/>
      <c r="C40" s="187">
        <f>SUM(C34:C39)</f>
        <v>735</v>
      </c>
      <c r="D40" s="190"/>
      <c r="E40" s="190"/>
      <c r="F40" s="190"/>
      <c r="G40" s="190"/>
    </row>
    <row r="41" spans="1:7" ht="27.95" customHeight="1" x14ac:dyDescent="0.2">
      <c r="A41" s="266" t="s">
        <v>245</v>
      </c>
      <c r="B41" s="266"/>
      <c r="C41" s="266"/>
      <c r="D41" s="186">
        <f>D42+D48</f>
        <v>44.49</v>
      </c>
      <c r="E41" s="186">
        <f t="shared" ref="E41:F41" si="3">E42+E48</f>
        <v>31.55</v>
      </c>
      <c r="F41" s="186">
        <f t="shared" si="3"/>
        <v>181.26999999999998</v>
      </c>
      <c r="G41" s="186">
        <f>G42+G48</f>
        <v>1233.8600000000001</v>
      </c>
    </row>
    <row r="42" spans="1:7" x14ac:dyDescent="0.2">
      <c r="A42" s="187"/>
      <c r="B42" s="266" t="s">
        <v>66</v>
      </c>
      <c r="C42" s="266"/>
      <c r="D42" s="186">
        <f>D43+D44+D45+D46</f>
        <v>19.03</v>
      </c>
      <c r="E42" s="186">
        <f>E43+E44+E45+E46</f>
        <v>6.46</v>
      </c>
      <c r="F42" s="186">
        <f>F43+F44+F45+F46</f>
        <v>83.52</v>
      </c>
      <c r="G42" s="186">
        <f>G43+G44+G45+G46</f>
        <v>489.34000000000003</v>
      </c>
    </row>
    <row r="43" spans="1:7" x14ac:dyDescent="0.2">
      <c r="A43" s="189" t="s">
        <v>142</v>
      </c>
      <c r="B43" s="182" t="s">
        <v>143</v>
      </c>
      <c r="C43" s="189">
        <v>60</v>
      </c>
      <c r="D43" s="190">
        <v>0.9</v>
      </c>
      <c r="E43" s="190">
        <v>0.06</v>
      </c>
      <c r="F43" s="190">
        <v>5.28</v>
      </c>
      <c r="G43" s="190">
        <v>27</v>
      </c>
    </row>
    <row r="44" spans="1:7" x14ac:dyDescent="0.2">
      <c r="A44" s="189" t="s">
        <v>229</v>
      </c>
      <c r="B44" s="182" t="s">
        <v>144</v>
      </c>
      <c r="C44" s="189">
        <v>200</v>
      </c>
      <c r="D44" s="190">
        <v>14.09</v>
      </c>
      <c r="E44" s="190">
        <v>5.98</v>
      </c>
      <c r="F44" s="190">
        <v>27.56</v>
      </c>
      <c r="G44" s="190">
        <v>229</v>
      </c>
    </row>
    <row r="45" spans="1:7" ht="21.75" customHeight="1" x14ac:dyDescent="0.2">
      <c r="A45" s="189" t="s">
        <v>42</v>
      </c>
      <c r="B45" s="182" t="s">
        <v>224</v>
      </c>
      <c r="C45" s="189">
        <v>200</v>
      </c>
      <c r="D45" s="190">
        <v>1</v>
      </c>
      <c r="E45" s="190">
        <v>0.1</v>
      </c>
      <c r="F45" s="190">
        <v>31</v>
      </c>
      <c r="G45" s="190">
        <v>135</v>
      </c>
    </row>
    <row r="46" spans="1:7" x14ac:dyDescent="0.2">
      <c r="A46" s="196"/>
      <c r="B46" s="182" t="s">
        <v>11</v>
      </c>
      <c r="C46" s="189">
        <v>40</v>
      </c>
      <c r="D46" s="190">
        <v>3.04</v>
      </c>
      <c r="E46" s="190">
        <v>0.32</v>
      </c>
      <c r="F46" s="190">
        <v>19.68</v>
      </c>
      <c r="G46" s="190">
        <v>98.34</v>
      </c>
    </row>
    <row r="47" spans="1:7" x14ac:dyDescent="0.2">
      <c r="A47" s="283" t="s">
        <v>252</v>
      </c>
      <c r="B47" s="283"/>
      <c r="C47" s="187">
        <f>SUM(C43:C46)</f>
        <v>500</v>
      </c>
      <c r="D47" s="190"/>
      <c r="E47" s="190"/>
      <c r="F47" s="190"/>
      <c r="G47" s="190"/>
    </row>
    <row r="48" spans="1:7" x14ac:dyDescent="0.2">
      <c r="A48" s="189"/>
      <c r="B48" s="284" t="s">
        <v>67</v>
      </c>
      <c r="C48" s="284"/>
      <c r="D48" s="186">
        <f>D49+D50+D51+D52+D53+D54</f>
        <v>25.46</v>
      </c>
      <c r="E48" s="186">
        <f>E49+E50+E51+E52+E53+E54</f>
        <v>25.09</v>
      </c>
      <c r="F48" s="186">
        <f>F49+F50+F51+F52+F53+F54</f>
        <v>97.75</v>
      </c>
      <c r="G48" s="186">
        <f>G49+G50+G51+G52+G53+G54</f>
        <v>744.52</v>
      </c>
    </row>
    <row r="49" spans="1:7" x14ac:dyDescent="0.2">
      <c r="A49" s="189" t="s">
        <v>82</v>
      </c>
      <c r="B49" s="182" t="s">
        <v>83</v>
      </c>
      <c r="C49" s="189">
        <v>60</v>
      </c>
      <c r="D49" s="190">
        <v>1.21</v>
      </c>
      <c r="E49" s="190">
        <v>6.2</v>
      </c>
      <c r="F49" s="190">
        <v>12.33</v>
      </c>
      <c r="G49" s="190">
        <v>113</v>
      </c>
    </row>
    <row r="50" spans="1:7" ht="25.5" x14ac:dyDescent="0.2">
      <c r="A50" s="189" t="s">
        <v>117</v>
      </c>
      <c r="B50" s="182" t="s">
        <v>145</v>
      </c>
      <c r="C50" s="189">
        <v>210</v>
      </c>
      <c r="D50" s="190">
        <v>2.64</v>
      </c>
      <c r="E50" s="190">
        <v>3.56</v>
      </c>
      <c r="F50" s="190">
        <v>11.76</v>
      </c>
      <c r="G50" s="190">
        <v>93</v>
      </c>
    </row>
    <row r="51" spans="1:7" x14ac:dyDescent="0.2">
      <c r="A51" s="189" t="s">
        <v>131</v>
      </c>
      <c r="B51" s="182" t="s">
        <v>146</v>
      </c>
      <c r="C51" s="189">
        <v>90</v>
      </c>
      <c r="D51" s="190">
        <v>11.84</v>
      </c>
      <c r="E51" s="190">
        <v>10.06</v>
      </c>
      <c r="F51" s="190">
        <v>16.03</v>
      </c>
      <c r="G51" s="190">
        <v>208</v>
      </c>
    </row>
    <row r="52" spans="1:7" x14ac:dyDescent="0.2">
      <c r="A52" s="196" t="s">
        <v>38</v>
      </c>
      <c r="B52" s="182" t="s">
        <v>36</v>
      </c>
      <c r="C52" s="189">
        <v>150</v>
      </c>
      <c r="D52" s="190">
        <v>8.77</v>
      </c>
      <c r="E52" s="190">
        <v>5.19</v>
      </c>
      <c r="F52" s="190">
        <v>39.630000000000003</v>
      </c>
      <c r="G52" s="190">
        <v>250</v>
      </c>
    </row>
    <row r="53" spans="1:7" x14ac:dyDescent="0.2">
      <c r="A53" s="196" t="s">
        <v>182</v>
      </c>
      <c r="B53" s="182" t="s">
        <v>10</v>
      </c>
      <c r="C53" s="189">
        <v>200</v>
      </c>
      <c r="D53" s="190">
        <v>0</v>
      </c>
      <c r="E53" s="190">
        <v>0</v>
      </c>
      <c r="F53" s="190">
        <v>10</v>
      </c>
      <c r="G53" s="190">
        <v>42</v>
      </c>
    </row>
    <row r="54" spans="1:7" x14ac:dyDescent="0.2">
      <c r="A54" s="189"/>
      <c r="B54" s="182" t="s">
        <v>37</v>
      </c>
      <c r="C54" s="189">
        <v>20</v>
      </c>
      <c r="D54" s="190">
        <v>1</v>
      </c>
      <c r="E54" s="190">
        <v>0.08</v>
      </c>
      <c r="F54" s="190">
        <v>8</v>
      </c>
      <c r="G54" s="190">
        <v>38.520000000000003</v>
      </c>
    </row>
    <row r="55" spans="1:7" x14ac:dyDescent="0.2">
      <c r="A55" s="283" t="s">
        <v>252</v>
      </c>
      <c r="B55" s="283"/>
      <c r="C55" s="187">
        <f>SUM(C49:C54)</f>
        <v>730</v>
      </c>
      <c r="D55" s="190"/>
      <c r="E55" s="190"/>
      <c r="F55" s="190"/>
      <c r="G55" s="190"/>
    </row>
    <row r="56" spans="1:7" ht="27.95" customHeight="1" x14ac:dyDescent="0.2">
      <c r="A56" s="266" t="s">
        <v>246</v>
      </c>
      <c r="B56" s="266"/>
      <c r="C56" s="266"/>
      <c r="D56" s="186">
        <f t="shared" ref="D56:G56" si="4">D57+D63</f>
        <v>49.58</v>
      </c>
      <c r="E56" s="186">
        <f t="shared" si="4"/>
        <v>49.29</v>
      </c>
      <c r="F56" s="186">
        <f t="shared" si="4"/>
        <v>160.68</v>
      </c>
      <c r="G56" s="186">
        <f t="shared" si="4"/>
        <v>1330.2259999999999</v>
      </c>
    </row>
    <row r="57" spans="1:7" x14ac:dyDescent="0.2">
      <c r="A57" s="187"/>
      <c r="B57" s="266" t="s">
        <v>66</v>
      </c>
      <c r="C57" s="266"/>
      <c r="D57" s="186">
        <f>D58+D59+D60+D61</f>
        <v>21.169999999999998</v>
      </c>
      <c r="E57" s="186">
        <f>E58+E59+E60+E61</f>
        <v>17.48</v>
      </c>
      <c r="F57" s="186">
        <f>F58+F59+F60+F61</f>
        <v>82.38</v>
      </c>
      <c r="G57" s="186">
        <f>G58+G59+G60+G61</f>
        <v>592.27</v>
      </c>
    </row>
    <row r="58" spans="1:7" x14ac:dyDescent="0.2">
      <c r="A58" s="196"/>
      <c r="B58" s="182" t="s">
        <v>41</v>
      </c>
      <c r="C58" s="189">
        <v>100</v>
      </c>
      <c r="D58" s="190">
        <v>0.4</v>
      </c>
      <c r="E58" s="190">
        <v>0</v>
      </c>
      <c r="F58" s="190">
        <v>9.8000000000000007</v>
      </c>
      <c r="G58" s="190">
        <v>42.84</v>
      </c>
    </row>
    <row r="59" spans="1:7" x14ac:dyDescent="0.2">
      <c r="A59" s="196" t="s">
        <v>188</v>
      </c>
      <c r="B59" s="182" t="s">
        <v>139</v>
      </c>
      <c r="C59" s="189">
        <v>200</v>
      </c>
      <c r="D59" s="190">
        <v>17.73</v>
      </c>
      <c r="E59" s="190">
        <v>17.16</v>
      </c>
      <c r="F59" s="190">
        <v>42.9</v>
      </c>
      <c r="G59" s="190">
        <v>409.09</v>
      </c>
    </row>
    <row r="60" spans="1:7" x14ac:dyDescent="0.2">
      <c r="A60" s="196" t="s">
        <v>182</v>
      </c>
      <c r="B60" s="191" t="s">
        <v>10</v>
      </c>
      <c r="C60" s="189">
        <v>200</v>
      </c>
      <c r="D60" s="190">
        <v>0</v>
      </c>
      <c r="E60" s="190">
        <v>0</v>
      </c>
      <c r="F60" s="190">
        <v>10</v>
      </c>
      <c r="G60" s="190">
        <v>42</v>
      </c>
    </row>
    <row r="61" spans="1:7" ht="15" customHeight="1" x14ac:dyDescent="0.2">
      <c r="A61" s="189"/>
      <c r="B61" s="182" t="s">
        <v>11</v>
      </c>
      <c r="C61" s="189">
        <v>40</v>
      </c>
      <c r="D61" s="190">
        <v>3.04</v>
      </c>
      <c r="E61" s="190">
        <v>0.32</v>
      </c>
      <c r="F61" s="190">
        <v>19.68</v>
      </c>
      <c r="G61" s="190">
        <v>98.34</v>
      </c>
    </row>
    <row r="62" spans="1:7" ht="15" customHeight="1" x14ac:dyDescent="0.2">
      <c r="A62" s="283" t="s">
        <v>252</v>
      </c>
      <c r="B62" s="283"/>
      <c r="C62" s="187">
        <f>SUM(C58:C61)</f>
        <v>540</v>
      </c>
      <c r="D62" s="190"/>
      <c r="E62" s="190"/>
      <c r="F62" s="190"/>
      <c r="G62" s="190"/>
    </row>
    <row r="63" spans="1:7" ht="15" customHeight="1" x14ac:dyDescent="0.2">
      <c r="A63" s="189"/>
      <c r="B63" s="284" t="s">
        <v>67</v>
      </c>
      <c r="C63" s="284"/>
      <c r="D63" s="186">
        <f>D64+D65+D66+D67+D68</f>
        <v>28.41</v>
      </c>
      <c r="E63" s="186">
        <f>E64+E65+E66+E67+E68</f>
        <v>31.81</v>
      </c>
      <c r="F63" s="186">
        <f>F64+F65+F66+F67+F68</f>
        <v>78.3</v>
      </c>
      <c r="G63" s="186">
        <f>G64+G65+G66+G67+G68</f>
        <v>737.9559999999999</v>
      </c>
    </row>
    <row r="64" spans="1:7" ht="15" customHeight="1" x14ac:dyDescent="0.2">
      <c r="A64" s="189" t="s">
        <v>190</v>
      </c>
      <c r="B64" s="182" t="s">
        <v>152</v>
      </c>
      <c r="C64" s="189">
        <v>60</v>
      </c>
      <c r="D64" s="190">
        <v>0.88</v>
      </c>
      <c r="E64" s="190">
        <v>3.11</v>
      </c>
      <c r="F64" s="190">
        <v>5.64</v>
      </c>
      <c r="G64" s="190">
        <v>55.8</v>
      </c>
    </row>
    <row r="65" spans="1:7" ht="30" customHeight="1" x14ac:dyDescent="0.2">
      <c r="A65" s="189" t="s">
        <v>186</v>
      </c>
      <c r="B65" s="182" t="s">
        <v>149</v>
      </c>
      <c r="C65" s="189">
        <v>210</v>
      </c>
      <c r="D65" s="190">
        <v>6.51</v>
      </c>
      <c r="E65" s="190">
        <v>12.28</v>
      </c>
      <c r="F65" s="190">
        <v>11.17</v>
      </c>
      <c r="G65" s="190">
        <v>187.77600000000001</v>
      </c>
    </row>
    <row r="66" spans="1:7" ht="15" customHeight="1" x14ac:dyDescent="0.2">
      <c r="A66" s="189" t="s">
        <v>236</v>
      </c>
      <c r="B66" s="182" t="s">
        <v>150</v>
      </c>
      <c r="C66" s="189">
        <v>260</v>
      </c>
      <c r="D66" s="190">
        <v>18.350000000000001</v>
      </c>
      <c r="E66" s="190">
        <v>16.260000000000002</v>
      </c>
      <c r="F66" s="190">
        <v>39.619999999999997</v>
      </c>
      <c r="G66" s="190">
        <v>389.81</v>
      </c>
    </row>
    <row r="67" spans="1:7" ht="16.5" customHeight="1" x14ac:dyDescent="0.2">
      <c r="A67" s="196" t="s">
        <v>42</v>
      </c>
      <c r="B67" s="182" t="s">
        <v>223</v>
      </c>
      <c r="C67" s="189">
        <v>200</v>
      </c>
      <c r="D67" s="190">
        <v>1.1499999999999999</v>
      </c>
      <c r="E67" s="190"/>
      <c r="F67" s="190">
        <v>12.03</v>
      </c>
      <c r="G67" s="190">
        <v>55.4</v>
      </c>
    </row>
    <row r="68" spans="1:7" ht="15" customHeight="1" x14ac:dyDescent="0.2">
      <c r="A68" s="189"/>
      <c r="B68" s="182" t="s">
        <v>11</v>
      </c>
      <c r="C68" s="189">
        <v>20</v>
      </c>
      <c r="D68" s="190">
        <v>1.52</v>
      </c>
      <c r="E68" s="190">
        <v>0.16</v>
      </c>
      <c r="F68" s="190">
        <v>9.84</v>
      </c>
      <c r="G68" s="190">
        <v>49.17</v>
      </c>
    </row>
    <row r="69" spans="1:7" ht="15" customHeight="1" x14ac:dyDescent="0.2">
      <c r="A69" s="283" t="s">
        <v>252</v>
      </c>
      <c r="B69" s="283"/>
      <c r="C69" s="187">
        <f>SUM(C64:C68)</f>
        <v>750</v>
      </c>
      <c r="D69" s="190"/>
      <c r="E69" s="190"/>
      <c r="F69" s="190"/>
      <c r="G69" s="190"/>
    </row>
    <row r="70" spans="1:7" ht="27.95" customHeight="1" x14ac:dyDescent="0.2">
      <c r="A70" s="266" t="s">
        <v>247</v>
      </c>
      <c r="B70" s="266"/>
      <c r="C70" s="266"/>
      <c r="D70" s="186">
        <f>D71+D77</f>
        <v>43.019999999999996</v>
      </c>
      <c r="E70" s="186">
        <f t="shared" ref="E70:G70" si="5">E71+E77</f>
        <v>40.33</v>
      </c>
      <c r="F70" s="186">
        <f t="shared" si="5"/>
        <v>191.87</v>
      </c>
      <c r="G70" s="186">
        <f t="shared" si="5"/>
        <v>1350.3220000000001</v>
      </c>
    </row>
    <row r="71" spans="1:7" x14ac:dyDescent="0.2">
      <c r="A71" s="187"/>
      <c r="B71" s="266" t="s">
        <v>66</v>
      </c>
      <c r="C71" s="266"/>
      <c r="D71" s="186">
        <f>D72+D73+D74+D75</f>
        <v>15.2</v>
      </c>
      <c r="E71" s="186">
        <f>E72+E73+E74+E75</f>
        <v>15.11</v>
      </c>
      <c r="F71" s="186">
        <f>F72+F73+F74+F75</f>
        <v>79.06</v>
      </c>
      <c r="G71" s="186">
        <f>G72+G73+G74+G75</f>
        <v>532.43200000000002</v>
      </c>
    </row>
    <row r="72" spans="1:7" x14ac:dyDescent="0.2">
      <c r="A72" s="189" t="s">
        <v>228</v>
      </c>
      <c r="B72" s="182" t="s">
        <v>151</v>
      </c>
      <c r="C72" s="189">
        <v>105</v>
      </c>
      <c r="D72" s="190">
        <v>6.14</v>
      </c>
      <c r="E72" s="190">
        <v>11.91</v>
      </c>
      <c r="F72" s="190">
        <v>10.92</v>
      </c>
      <c r="G72" s="190">
        <v>178.84</v>
      </c>
    </row>
    <row r="73" spans="1:7" x14ac:dyDescent="0.2">
      <c r="A73" s="189" t="s">
        <v>33</v>
      </c>
      <c r="B73" s="182" t="s">
        <v>12</v>
      </c>
      <c r="C73" s="189">
        <v>150</v>
      </c>
      <c r="D73" s="190">
        <v>5.64</v>
      </c>
      <c r="E73" s="190">
        <v>2.84</v>
      </c>
      <c r="F73" s="190">
        <v>36</v>
      </c>
      <c r="G73" s="190">
        <v>201</v>
      </c>
    </row>
    <row r="74" spans="1:7" x14ac:dyDescent="0.2">
      <c r="A74" s="206" t="s">
        <v>182</v>
      </c>
      <c r="B74" s="182" t="s">
        <v>10</v>
      </c>
      <c r="C74" s="206">
        <v>200</v>
      </c>
      <c r="D74" s="190">
        <v>0</v>
      </c>
      <c r="E74" s="190">
        <v>0</v>
      </c>
      <c r="F74" s="190">
        <v>10</v>
      </c>
      <c r="G74" s="190">
        <v>42</v>
      </c>
    </row>
    <row r="75" spans="1:7" ht="13.5" customHeight="1" x14ac:dyDescent="0.2">
      <c r="A75" s="196"/>
      <c r="B75" s="191" t="s">
        <v>11</v>
      </c>
      <c r="C75" s="196">
        <v>45</v>
      </c>
      <c r="D75" s="192">
        <v>3.42</v>
      </c>
      <c r="E75" s="192">
        <v>0.36</v>
      </c>
      <c r="F75" s="192">
        <v>22.14</v>
      </c>
      <c r="G75" s="192">
        <v>110.592</v>
      </c>
    </row>
    <row r="76" spans="1:7" x14ac:dyDescent="0.2">
      <c r="A76" s="283" t="s">
        <v>252</v>
      </c>
      <c r="B76" s="283"/>
      <c r="C76" s="187">
        <f>SUM(C72:C75)</f>
        <v>500</v>
      </c>
      <c r="D76" s="190"/>
      <c r="E76" s="190"/>
      <c r="F76" s="190"/>
      <c r="G76" s="190"/>
    </row>
    <row r="77" spans="1:7" x14ac:dyDescent="0.2">
      <c r="A77" s="189"/>
      <c r="B77" s="284" t="s">
        <v>67</v>
      </c>
      <c r="C77" s="284"/>
      <c r="D77" s="186">
        <f>D78+D79+D80+D81+D82+D83</f>
        <v>27.82</v>
      </c>
      <c r="E77" s="186">
        <f>E78+E79+E80+E81+E82+E83</f>
        <v>25.22</v>
      </c>
      <c r="F77" s="186">
        <f>F78+F79+F80+F81+F82+F83</f>
        <v>112.81</v>
      </c>
      <c r="G77" s="186">
        <f>G78+G79+G80+G81+G82+G83</f>
        <v>817.89</v>
      </c>
    </row>
    <row r="78" spans="1:7" ht="18.75" customHeight="1" x14ac:dyDescent="0.2">
      <c r="A78" s="206" t="s">
        <v>193</v>
      </c>
      <c r="B78" s="182" t="s">
        <v>148</v>
      </c>
      <c r="C78" s="189">
        <v>60</v>
      </c>
      <c r="D78" s="190">
        <v>0.74</v>
      </c>
      <c r="E78" s="190">
        <v>0.06</v>
      </c>
      <c r="F78" s="190">
        <v>16.920000000000002</v>
      </c>
      <c r="G78" s="190">
        <v>74.709999999999994</v>
      </c>
    </row>
    <row r="79" spans="1:7" ht="14.25" customHeight="1" x14ac:dyDescent="0.2">
      <c r="A79" s="189" t="s">
        <v>184</v>
      </c>
      <c r="B79" s="182" t="s">
        <v>138</v>
      </c>
      <c r="C79" s="189">
        <v>205</v>
      </c>
      <c r="D79" s="190">
        <v>3.09</v>
      </c>
      <c r="E79" s="190">
        <v>4.6100000000000003</v>
      </c>
      <c r="F79" s="190">
        <v>12.54</v>
      </c>
      <c r="G79" s="190">
        <v>107.36</v>
      </c>
    </row>
    <row r="80" spans="1:7" x14ac:dyDescent="0.2">
      <c r="A80" s="189" t="s">
        <v>227</v>
      </c>
      <c r="B80" s="182" t="s">
        <v>154</v>
      </c>
      <c r="C80" s="189">
        <v>110</v>
      </c>
      <c r="D80" s="190">
        <v>5.73</v>
      </c>
      <c r="E80" s="190">
        <v>16.34</v>
      </c>
      <c r="F80" s="190">
        <v>10.38</v>
      </c>
      <c r="G80" s="190">
        <v>215</v>
      </c>
    </row>
    <row r="81" spans="1:21" x14ac:dyDescent="0.2">
      <c r="A81" s="196" t="s">
        <v>134</v>
      </c>
      <c r="B81" s="182" t="s">
        <v>155</v>
      </c>
      <c r="C81" s="189">
        <v>150</v>
      </c>
      <c r="D81" s="190">
        <v>16.260000000000002</v>
      </c>
      <c r="E81" s="190">
        <v>4.03</v>
      </c>
      <c r="F81" s="190">
        <v>33.97</v>
      </c>
      <c r="G81" s="190">
        <v>247.3</v>
      </c>
    </row>
    <row r="82" spans="1:21" ht="29.25" customHeight="1" x14ac:dyDescent="0.2">
      <c r="A82" s="189" t="s">
        <v>42</v>
      </c>
      <c r="B82" s="182" t="s">
        <v>224</v>
      </c>
      <c r="C82" s="189">
        <v>200</v>
      </c>
      <c r="D82" s="190">
        <v>1</v>
      </c>
      <c r="E82" s="190">
        <v>0.1</v>
      </c>
      <c r="F82" s="190">
        <v>31</v>
      </c>
      <c r="G82" s="190">
        <v>135</v>
      </c>
    </row>
    <row r="83" spans="1:21" x14ac:dyDescent="0.2">
      <c r="A83" s="189"/>
      <c r="B83" s="182" t="s">
        <v>37</v>
      </c>
      <c r="C83" s="189">
        <v>20</v>
      </c>
      <c r="D83" s="190">
        <v>1</v>
      </c>
      <c r="E83" s="190">
        <v>0.08</v>
      </c>
      <c r="F83" s="190">
        <v>8</v>
      </c>
      <c r="G83" s="190">
        <v>38.520000000000003</v>
      </c>
    </row>
    <row r="84" spans="1:21" x14ac:dyDescent="0.2">
      <c r="A84" s="283" t="s">
        <v>252</v>
      </c>
      <c r="B84" s="283"/>
      <c r="C84" s="187">
        <f>SUM(C78:C83)</f>
        <v>745</v>
      </c>
      <c r="D84" s="190"/>
      <c r="E84" s="190"/>
      <c r="F84" s="190"/>
      <c r="G84" s="190"/>
    </row>
    <row r="85" spans="1:21" ht="27.95" customHeight="1" x14ac:dyDescent="0.2">
      <c r="A85" s="266" t="s">
        <v>248</v>
      </c>
      <c r="B85" s="266"/>
      <c r="C85" s="266"/>
      <c r="D85" s="186">
        <f t="shared" ref="D85:F85" si="6">D86+D92</f>
        <v>36.349999999999994</v>
      </c>
      <c r="E85" s="186">
        <f t="shared" si="6"/>
        <v>47.66</v>
      </c>
      <c r="F85" s="186">
        <f t="shared" si="6"/>
        <v>178.22</v>
      </c>
      <c r="G85" s="186">
        <f>G86+G92</f>
        <v>1330.8139999999999</v>
      </c>
    </row>
    <row r="86" spans="1:21" x14ac:dyDescent="0.2">
      <c r="A86" s="187"/>
      <c r="B86" s="266" t="s">
        <v>66</v>
      </c>
      <c r="C86" s="266"/>
      <c r="D86" s="186">
        <f>D87+D88+D89+D90</f>
        <v>11.64</v>
      </c>
      <c r="E86" s="186">
        <f>E87+E88+E89+E90</f>
        <v>10.52</v>
      </c>
      <c r="F86" s="186">
        <f>F87+F88+F89+F90</f>
        <v>89.5</v>
      </c>
      <c r="G86" s="186">
        <f>G87+G88+G89+G90</f>
        <v>519.5</v>
      </c>
    </row>
    <row r="87" spans="1:21" x14ac:dyDescent="0.2">
      <c r="A87" s="189"/>
      <c r="B87" s="182" t="s">
        <v>41</v>
      </c>
      <c r="C87" s="189">
        <v>100</v>
      </c>
      <c r="D87" s="190">
        <v>0.4</v>
      </c>
      <c r="E87" s="190">
        <v>0</v>
      </c>
      <c r="F87" s="190">
        <v>9.8000000000000007</v>
      </c>
      <c r="G87" s="190">
        <v>42.84</v>
      </c>
    </row>
    <row r="88" spans="1:21" ht="24.75" customHeight="1" x14ac:dyDescent="0.2">
      <c r="A88" s="189" t="s">
        <v>180</v>
      </c>
      <c r="B88" s="182" t="s">
        <v>205</v>
      </c>
      <c r="C88" s="189">
        <v>203</v>
      </c>
      <c r="D88" s="190">
        <v>8.1999999999999993</v>
      </c>
      <c r="E88" s="190">
        <v>10.199999999999999</v>
      </c>
      <c r="F88" s="190">
        <v>50.02</v>
      </c>
      <c r="G88" s="190">
        <v>336.32</v>
      </c>
      <c r="H88" s="194"/>
      <c r="I88" s="194"/>
      <c r="J88" s="194"/>
      <c r="K88" s="194"/>
      <c r="L88" s="194"/>
      <c r="M88" s="195"/>
      <c r="N88" s="194"/>
      <c r="O88" s="194"/>
      <c r="P88" s="194"/>
      <c r="Q88" s="194"/>
      <c r="R88" s="194"/>
    </row>
    <row r="89" spans="1:21" ht="12" customHeight="1" x14ac:dyDescent="0.2">
      <c r="A89" s="189" t="s">
        <v>182</v>
      </c>
      <c r="B89" s="182" t="s">
        <v>10</v>
      </c>
      <c r="C89" s="189">
        <v>200</v>
      </c>
      <c r="D89" s="190">
        <v>0</v>
      </c>
      <c r="E89" s="190">
        <v>0</v>
      </c>
      <c r="F89" s="190">
        <v>10</v>
      </c>
      <c r="G89" s="190">
        <v>42</v>
      </c>
      <c r="H89" s="194"/>
      <c r="I89" s="194"/>
      <c r="J89" s="194"/>
      <c r="K89" s="194"/>
      <c r="L89" s="194"/>
      <c r="M89" s="195"/>
      <c r="N89" s="194"/>
      <c r="O89" s="194"/>
      <c r="P89" s="194"/>
      <c r="Q89" s="194"/>
      <c r="R89" s="194"/>
    </row>
    <row r="90" spans="1:21" x14ac:dyDescent="0.2">
      <c r="A90" s="206"/>
      <c r="B90" s="182" t="s">
        <v>11</v>
      </c>
      <c r="C90" s="189">
        <v>40</v>
      </c>
      <c r="D90" s="190">
        <v>3.04</v>
      </c>
      <c r="E90" s="190">
        <v>0.32</v>
      </c>
      <c r="F90" s="190">
        <v>19.68</v>
      </c>
      <c r="G90" s="190">
        <v>98.34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</row>
    <row r="91" spans="1:21" x14ac:dyDescent="0.2">
      <c r="A91" s="283" t="s">
        <v>252</v>
      </c>
      <c r="B91" s="283"/>
      <c r="C91" s="207">
        <f>SUM(C87:C90)</f>
        <v>543</v>
      </c>
      <c r="D91" s="192"/>
      <c r="E91" s="192"/>
      <c r="F91" s="192"/>
      <c r="G91" s="192"/>
    </row>
    <row r="92" spans="1:21" x14ac:dyDescent="0.2">
      <c r="A92" s="196"/>
      <c r="B92" s="284" t="s">
        <v>67</v>
      </c>
      <c r="C92" s="284"/>
      <c r="D92" s="217">
        <f>D93+D94+D95+D96+D97</f>
        <v>24.709999999999997</v>
      </c>
      <c r="E92" s="217">
        <f>E93+E94+E95+E96+E97</f>
        <v>37.14</v>
      </c>
      <c r="F92" s="217">
        <f>F93+F94+F95+F96+F97</f>
        <v>88.72</v>
      </c>
      <c r="G92" s="217">
        <f>G93+G94+G95+G96+G97</f>
        <v>811.31399999999996</v>
      </c>
    </row>
    <row r="93" spans="1:21" ht="16.5" customHeight="1" x14ac:dyDescent="0.2">
      <c r="A93" s="189" t="s">
        <v>82</v>
      </c>
      <c r="B93" s="182" t="s">
        <v>83</v>
      </c>
      <c r="C93" s="189">
        <v>60</v>
      </c>
      <c r="D93" s="190">
        <v>1.21</v>
      </c>
      <c r="E93" s="190">
        <v>6.2</v>
      </c>
      <c r="F93" s="190">
        <v>12.33</v>
      </c>
      <c r="G93" s="190">
        <v>113</v>
      </c>
      <c r="H93" s="209"/>
      <c r="I93" s="212"/>
      <c r="J93" s="197"/>
      <c r="K93" s="197"/>
      <c r="L93" s="197"/>
      <c r="M93" s="197"/>
      <c r="N93" s="197"/>
      <c r="O93" s="194"/>
      <c r="P93" s="194"/>
      <c r="Q93" s="194"/>
      <c r="R93" s="194"/>
      <c r="S93" s="194"/>
      <c r="T93" s="194"/>
      <c r="U93" s="194"/>
    </row>
    <row r="94" spans="1:21" ht="28.5" customHeight="1" x14ac:dyDescent="0.2">
      <c r="A94" s="189" t="s">
        <v>124</v>
      </c>
      <c r="B94" s="182" t="s">
        <v>156</v>
      </c>
      <c r="C94" s="189">
        <v>205</v>
      </c>
      <c r="D94" s="190">
        <v>3.96</v>
      </c>
      <c r="E94" s="190">
        <v>4.8600000000000003</v>
      </c>
      <c r="F94" s="190">
        <v>17.010000000000002</v>
      </c>
      <c r="G94" s="190">
        <v>131.81399999999999</v>
      </c>
      <c r="H94" s="225"/>
      <c r="I94" s="215"/>
      <c r="J94" s="184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4"/>
    </row>
    <row r="95" spans="1:21" x14ac:dyDescent="0.2">
      <c r="A95" s="189" t="s">
        <v>234</v>
      </c>
      <c r="B95" s="182" t="s">
        <v>157</v>
      </c>
      <c r="C95" s="189">
        <v>200</v>
      </c>
      <c r="D95" s="190">
        <v>16.48</v>
      </c>
      <c r="E95" s="190">
        <v>25.76</v>
      </c>
      <c r="F95" s="190">
        <v>10.39</v>
      </c>
      <c r="G95" s="190">
        <v>345</v>
      </c>
    </row>
    <row r="96" spans="1:21" ht="25.5" x14ac:dyDescent="0.2">
      <c r="A96" s="196" t="s">
        <v>40</v>
      </c>
      <c r="B96" s="182" t="s">
        <v>225</v>
      </c>
      <c r="C96" s="189">
        <v>200</v>
      </c>
      <c r="D96" s="190">
        <v>0.02</v>
      </c>
      <c r="E96" s="190"/>
      <c r="F96" s="190">
        <v>29.31</v>
      </c>
      <c r="G96" s="190">
        <v>123.16</v>
      </c>
      <c r="H96" s="197"/>
      <c r="I96" s="197"/>
      <c r="J96" s="197"/>
      <c r="K96" s="197"/>
      <c r="L96" s="197"/>
      <c r="M96" s="197"/>
      <c r="N96" s="184"/>
      <c r="O96" s="197"/>
      <c r="P96" s="197"/>
      <c r="Q96" s="197"/>
      <c r="R96" s="197"/>
      <c r="S96" s="197"/>
    </row>
    <row r="97" spans="1:25" x14ac:dyDescent="0.2">
      <c r="A97" s="189"/>
      <c r="B97" s="191" t="s">
        <v>11</v>
      </c>
      <c r="C97" s="196">
        <v>40</v>
      </c>
      <c r="D97" s="192">
        <v>3.04</v>
      </c>
      <c r="E97" s="192">
        <v>0.32</v>
      </c>
      <c r="F97" s="192">
        <v>19.68</v>
      </c>
      <c r="G97" s="192">
        <v>98.34</v>
      </c>
    </row>
    <row r="98" spans="1:25" x14ac:dyDescent="0.2">
      <c r="A98" s="283" t="s">
        <v>252</v>
      </c>
      <c r="B98" s="283"/>
      <c r="C98" s="187">
        <f>SUM(C93:C97)</f>
        <v>705</v>
      </c>
      <c r="D98" s="190"/>
      <c r="E98" s="190"/>
      <c r="F98" s="190"/>
      <c r="G98" s="190"/>
    </row>
    <row r="99" spans="1:25" ht="27.95" customHeight="1" x14ac:dyDescent="0.2">
      <c r="A99" s="266" t="s">
        <v>64</v>
      </c>
      <c r="B99" s="266"/>
      <c r="C99" s="266"/>
      <c r="D99" s="186">
        <f t="shared" ref="D99:E99" si="7">D100+D107</f>
        <v>39.83</v>
      </c>
      <c r="E99" s="186">
        <f t="shared" si="7"/>
        <v>46.419999999999995</v>
      </c>
      <c r="F99" s="186">
        <f>F100+F107</f>
        <v>171.92000000000002</v>
      </c>
      <c r="G99" s="186">
        <f>G100+G107</f>
        <v>1328.424</v>
      </c>
    </row>
    <row r="100" spans="1:25" x14ac:dyDescent="0.2">
      <c r="A100" s="187"/>
      <c r="B100" s="266" t="s">
        <v>66</v>
      </c>
      <c r="C100" s="266"/>
      <c r="D100" s="186">
        <f>D101+D102+D103+D104+D105</f>
        <v>20.170000000000002</v>
      </c>
      <c r="E100" s="186">
        <f>E101+E102+E103+E104+E105</f>
        <v>13.51</v>
      </c>
      <c r="F100" s="186">
        <f>F101+F102+F103+F104+F105</f>
        <v>95.15</v>
      </c>
      <c r="G100" s="186">
        <f>G101+G102+G103+G104+G105</f>
        <v>606.51599999999996</v>
      </c>
    </row>
    <row r="101" spans="1:25" ht="17.25" customHeight="1" x14ac:dyDescent="0.2">
      <c r="A101" s="196" t="s">
        <v>230</v>
      </c>
      <c r="B101" s="182" t="s">
        <v>158</v>
      </c>
      <c r="C101" s="189">
        <v>90</v>
      </c>
      <c r="D101" s="190">
        <v>11.81</v>
      </c>
      <c r="E101" s="190">
        <v>8.11</v>
      </c>
      <c r="F101" s="190">
        <v>4.87</v>
      </c>
      <c r="G101" s="190">
        <v>143.05000000000001</v>
      </c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</row>
    <row r="102" spans="1:25" ht="13.5" customHeight="1" x14ac:dyDescent="0.2">
      <c r="A102" s="196" t="s">
        <v>189</v>
      </c>
      <c r="B102" s="182" t="s">
        <v>159</v>
      </c>
      <c r="C102" s="189">
        <v>150</v>
      </c>
      <c r="D102" s="190">
        <v>3.81</v>
      </c>
      <c r="E102" s="190">
        <v>2.72</v>
      </c>
      <c r="F102" s="190">
        <v>40</v>
      </c>
      <c r="G102" s="190">
        <v>208.48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</row>
    <row r="103" spans="1:25" ht="14.25" customHeight="1" x14ac:dyDescent="0.2">
      <c r="A103" s="196"/>
      <c r="B103" s="182" t="s">
        <v>62</v>
      </c>
      <c r="C103" s="189">
        <v>20</v>
      </c>
      <c r="D103" s="190">
        <v>1.5</v>
      </c>
      <c r="E103" s="190">
        <v>2.36</v>
      </c>
      <c r="F103" s="190">
        <v>14.98</v>
      </c>
      <c r="G103" s="190">
        <v>91</v>
      </c>
      <c r="H103" s="197"/>
      <c r="I103" s="184"/>
      <c r="J103" s="197"/>
      <c r="K103" s="197"/>
      <c r="L103" s="184"/>
      <c r="M103" s="197"/>
      <c r="N103" s="197"/>
      <c r="O103" s="184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</row>
    <row r="104" spans="1:25" ht="14.25" customHeight="1" x14ac:dyDescent="0.2">
      <c r="A104" s="196">
        <v>323</v>
      </c>
      <c r="B104" s="182" t="s">
        <v>160</v>
      </c>
      <c r="C104" s="189">
        <v>200</v>
      </c>
      <c r="D104" s="190">
        <v>0.01</v>
      </c>
      <c r="E104" s="190"/>
      <c r="F104" s="190">
        <v>15.62</v>
      </c>
      <c r="G104" s="190">
        <v>65.646000000000001</v>
      </c>
      <c r="H104" s="197"/>
      <c r="I104" s="184"/>
      <c r="J104" s="197"/>
      <c r="K104" s="197"/>
      <c r="L104" s="184"/>
      <c r="M104" s="197"/>
      <c r="N104" s="197"/>
      <c r="O104" s="184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</row>
    <row r="105" spans="1:25" ht="14.25" customHeight="1" x14ac:dyDescent="0.2">
      <c r="A105" s="189"/>
      <c r="B105" s="182" t="s">
        <v>11</v>
      </c>
      <c r="C105" s="189">
        <v>40</v>
      </c>
      <c r="D105" s="190">
        <v>3.04</v>
      </c>
      <c r="E105" s="190">
        <v>0.32</v>
      </c>
      <c r="F105" s="190">
        <v>19.68</v>
      </c>
      <c r="G105" s="190">
        <v>98.34</v>
      </c>
      <c r="H105" s="197"/>
      <c r="I105" s="198"/>
      <c r="J105" s="197"/>
      <c r="K105" s="197"/>
      <c r="L105" s="198"/>
      <c r="M105" s="184"/>
      <c r="N105" s="184"/>
      <c r="O105" s="184"/>
      <c r="P105" s="184"/>
      <c r="Q105" s="184"/>
      <c r="R105" s="184"/>
      <c r="S105" s="184"/>
      <c r="T105" s="184"/>
      <c r="U105" s="184"/>
      <c r="V105" s="197"/>
      <c r="W105" s="184"/>
      <c r="X105" s="184"/>
      <c r="Y105" s="198"/>
    </row>
    <row r="106" spans="1:25" ht="15.75" customHeight="1" x14ac:dyDescent="0.2">
      <c r="A106" s="283" t="s">
        <v>252</v>
      </c>
      <c r="B106" s="283"/>
      <c r="C106" s="207">
        <f>SUM(C101:C105)</f>
        <v>500</v>
      </c>
      <c r="D106" s="192"/>
      <c r="E106" s="192"/>
      <c r="F106" s="192"/>
      <c r="G106" s="192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</row>
    <row r="107" spans="1:25" ht="17.25" customHeight="1" x14ac:dyDescent="0.2">
      <c r="A107" s="189"/>
      <c r="B107" s="284" t="s">
        <v>67</v>
      </c>
      <c r="C107" s="284"/>
      <c r="D107" s="217">
        <f>D108+D109+D110+D111+D112+D113</f>
        <v>19.66</v>
      </c>
      <c r="E107" s="217">
        <f>E108+E109+E110+E111+E112+E113</f>
        <v>32.909999999999997</v>
      </c>
      <c r="F107" s="217">
        <f>F108+F109+F110+F111+F112+F113</f>
        <v>76.77</v>
      </c>
      <c r="G107" s="217">
        <f>G108+G109+G110+G111+G112+G113</f>
        <v>721.90800000000002</v>
      </c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</row>
    <row r="108" spans="1:25" ht="15" customHeight="1" x14ac:dyDescent="0.2">
      <c r="A108" s="189" t="s">
        <v>192</v>
      </c>
      <c r="B108" s="182" t="s">
        <v>137</v>
      </c>
      <c r="C108" s="221">
        <v>60</v>
      </c>
      <c r="D108" s="190">
        <v>0.94</v>
      </c>
      <c r="E108" s="190">
        <v>3.06</v>
      </c>
      <c r="F108" s="190">
        <v>5.66</v>
      </c>
      <c r="G108" s="190">
        <v>55.26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</row>
    <row r="109" spans="1:25" ht="24" customHeight="1" x14ac:dyDescent="0.2">
      <c r="A109" s="196" t="s">
        <v>187</v>
      </c>
      <c r="B109" s="182" t="s">
        <v>161</v>
      </c>
      <c r="C109" s="221">
        <v>210</v>
      </c>
      <c r="D109" s="190">
        <v>4.6500000000000004</v>
      </c>
      <c r="E109" s="190">
        <v>6.92</v>
      </c>
      <c r="F109" s="190">
        <v>12.49</v>
      </c>
      <c r="G109" s="190">
        <v>134.268</v>
      </c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</row>
    <row r="110" spans="1:25" ht="14.25" customHeight="1" x14ac:dyDescent="0.2">
      <c r="A110" s="196" t="s">
        <v>162</v>
      </c>
      <c r="B110" s="182" t="s">
        <v>163</v>
      </c>
      <c r="C110" s="221">
        <v>110</v>
      </c>
      <c r="D110" s="190">
        <v>9.15</v>
      </c>
      <c r="E110" s="190">
        <v>14.97</v>
      </c>
      <c r="F110" s="190">
        <v>10.6</v>
      </c>
      <c r="G110" s="190">
        <v>217.68</v>
      </c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</row>
    <row r="111" spans="1:25" ht="14.25" customHeight="1" x14ac:dyDescent="0.2">
      <c r="A111" s="189" t="s">
        <v>34</v>
      </c>
      <c r="B111" s="182" t="s">
        <v>32</v>
      </c>
      <c r="C111" s="221">
        <v>150</v>
      </c>
      <c r="D111" s="190">
        <v>3.26</v>
      </c>
      <c r="E111" s="190">
        <v>7.8</v>
      </c>
      <c r="F111" s="190">
        <v>21.99</v>
      </c>
      <c r="G111" s="190">
        <v>176.3</v>
      </c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</row>
    <row r="112" spans="1:25" ht="14.25" customHeight="1" x14ac:dyDescent="0.2">
      <c r="A112" s="189" t="s">
        <v>194</v>
      </c>
      <c r="B112" s="182" t="s">
        <v>90</v>
      </c>
      <c r="C112" s="221">
        <v>200</v>
      </c>
      <c r="D112" s="190">
        <v>0.14000000000000001</v>
      </c>
      <c r="E112" s="190"/>
      <c r="F112" s="190">
        <v>16.190000000000001</v>
      </c>
      <c r="G112" s="190">
        <v>89.23</v>
      </c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</row>
    <row r="113" spans="1:25" ht="13.5" customHeight="1" x14ac:dyDescent="0.2">
      <c r="A113" s="206"/>
      <c r="B113" s="182" t="s">
        <v>11</v>
      </c>
      <c r="C113" s="221">
        <v>20</v>
      </c>
      <c r="D113" s="190">
        <v>1.52</v>
      </c>
      <c r="E113" s="190">
        <v>0.16</v>
      </c>
      <c r="F113" s="190">
        <v>9.84</v>
      </c>
      <c r="G113" s="190">
        <v>49.17</v>
      </c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</row>
    <row r="114" spans="1:25" x14ac:dyDescent="0.2">
      <c r="A114" s="283" t="s">
        <v>252</v>
      </c>
      <c r="B114" s="283"/>
      <c r="C114" s="208">
        <f>SUM(C108:C113)</f>
        <v>750</v>
      </c>
      <c r="D114" s="190"/>
      <c r="E114" s="190"/>
      <c r="F114" s="190"/>
      <c r="G114" s="190"/>
      <c r="H114" s="197"/>
      <c r="I114" s="198"/>
      <c r="J114" s="197"/>
      <c r="K114" s="197"/>
      <c r="L114" s="198"/>
      <c r="M114" s="184"/>
      <c r="N114" s="184"/>
      <c r="O114" s="184"/>
      <c r="P114" s="184"/>
      <c r="Q114" s="184"/>
      <c r="R114" s="184"/>
      <c r="S114" s="184"/>
      <c r="T114" s="184"/>
      <c r="U114" s="184"/>
      <c r="V114" s="197"/>
      <c r="W114" s="184"/>
      <c r="X114" s="184"/>
      <c r="Y114" s="198"/>
    </row>
    <row r="115" spans="1:25" ht="27.95" customHeight="1" x14ac:dyDescent="0.2">
      <c r="A115" s="266" t="s">
        <v>249</v>
      </c>
      <c r="B115" s="266"/>
      <c r="C115" s="266"/>
      <c r="D115" s="186">
        <f t="shared" ref="D115:F115" si="8">D116+D122</f>
        <v>43.22</v>
      </c>
      <c r="E115" s="186">
        <f t="shared" si="8"/>
        <v>53.35</v>
      </c>
      <c r="F115" s="186">
        <f t="shared" si="8"/>
        <v>150.54</v>
      </c>
      <c r="G115" s="186">
        <f>G116+G122</f>
        <v>1295.7260000000001</v>
      </c>
    </row>
    <row r="116" spans="1:25" x14ac:dyDescent="0.2">
      <c r="A116" s="187"/>
      <c r="B116" s="266" t="s">
        <v>66</v>
      </c>
      <c r="C116" s="266"/>
      <c r="D116" s="186">
        <f>D117+D118+D119+D120</f>
        <v>17.759999999999998</v>
      </c>
      <c r="E116" s="186">
        <f>E117+E118+E119+E120</f>
        <v>14.36</v>
      </c>
      <c r="F116" s="186">
        <f>F117+F118+F119+F120</f>
        <v>71.47999999999999</v>
      </c>
      <c r="G116" s="186">
        <f>G117+G118+G119+G120</f>
        <v>504.63599999999997</v>
      </c>
    </row>
    <row r="117" spans="1:25" x14ac:dyDescent="0.2">
      <c r="A117" s="189" t="s">
        <v>232</v>
      </c>
      <c r="B117" s="182" t="s">
        <v>164</v>
      </c>
      <c r="C117" s="189">
        <v>110</v>
      </c>
      <c r="D117" s="190">
        <v>9.08</v>
      </c>
      <c r="E117" s="190">
        <v>11.2</v>
      </c>
      <c r="F117" s="190">
        <v>5.8</v>
      </c>
      <c r="G117" s="190">
        <v>163.29599999999999</v>
      </c>
    </row>
    <row r="118" spans="1:25" x14ac:dyDescent="0.2">
      <c r="A118" s="189" t="s">
        <v>33</v>
      </c>
      <c r="B118" s="182" t="s">
        <v>12</v>
      </c>
      <c r="C118" s="189">
        <v>150</v>
      </c>
      <c r="D118" s="190">
        <v>5.64</v>
      </c>
      <c r="E118" s="190">
        <v>2.84</v>
      </c>
      <c r="F118" s="190">
        <v>36</v>
      </c>
      <c r="G118" s="190">
        <v>201</v>
      </c>
    </row>
    <row r="119" spans="1:25" x14ac:dyDescent="0.2">
      <c r="A119" s="189" t="s">
        <v>182</v>
      </c>
      <c r="B119" s="182" t="s">
        <v>10</v>
      </c>
      <c r="C119" s="206">
        <v>200</v>
      </c>
      <c r="D119" s="190">
        <v>0</v>
      </c>
      <c r="E119" s="190">
        <v>0</v>
      </c>
      <c r="F119" s="190">
        <v>10</v>
      </c>
      <c r="G119" s="190">
        <v>42</v>
      </c>
    </row>
    <row r="120" spans="1:25" x14ac:dyDescent="0.2">
      <c r="A120" s="196"/>
      <c r="B120" s="191" t="s">
        <v>11</v>
      </c>
      <c r="C120" s="196">
        <v>40</v>
      </c>
      <c r="D120" s="192">
        <v>3.04</v>
      </c>
      <c r="E120" s="192">
        <v>0.32</v>
      </c>
      <c r="F120" s="192">
        <v>19.68</v>
      </c>
      <c r="G120" s="192">
        <v>98.34</v>
      </c>
    </row>
    <row r="121" spans="1:25" x14ac:dyDescent="0.2">
      <c r="A121" s="283" t="s">
        <v>252</v>
      </c>
      <c r="B121" s="283"/>
      <c r="C121" s="224">
        <f>SUM(C117:C120)</f>
        <v>500</v>
      </c>
      <c r="D121" s="190"/>
      <c r="E121" s="190"/>
      <c r="F121" s="190"/>
      <c r="G121" s="190"/>
    </row>
    <row r="122" spans="1:25" x14ac:dyDescent="0.2">
      <c r="A122" s="206"/>
      <c r="B122" s="284" t="s">
        <v>67</v>
      </c>
      <c r="C122" s="284"/>
      <c r="D122" s="186">
        <f>D123+D124+D125+D126+D127+D128</f>
        <v>25.46</v>
      </c>
      <c r="E122" s="186">
        <f>E123+E124+E125+E126+E127+E128</f>
        <v>38.99</v>
      </c>
      <c r="F122" s="186">
        <f>F123+F124+F125+F126+F127+F128</f>
        <v>79.06</v>
      </c>
      <c r="G122" s="186">
        <f>G123+G124+G125+G126+G127+G128</f>
        <v>791.09</v>
      </c>
    </row>
    <row r="123" spans="1:25" x14ac:dyDescent="0.2">
      <c r="A123" s="189" t="s">
        <v>68</v>
      </c>
      <c r="B123" s="182" t="s">
        <v>69</v>
      </c>
      <c r="C123" s="189">
        <v>60</v>
      </c>
      <c r="D123" s="190">
        <v>0.84</v>
      </c>
      <c r="E123" s="190">
        <v>3.06</v>
      </c>
      <c r="F123" s="190">
        <v>6.83</v>
      </c>
      <c r="G123" s="190">
        <v>59.75</v>
      </c>
    </row>
    <row r="124" spans="1:25" ht="25.5" x14ac:dyDescent="0.2">
      <c r="A124" s="189" t="s">
        <v>130</v>
      </c>
      <c r="B124" s="182" t="s">
        <v>165</v>
      </c>
      <c r="C124" s="189">
        <v>210</v>
      </c>
      <c r="D124" s="190">
        <v>7.49</v>
      </c>
      <c r="E124" s="190">
        <f>10.16+12.36</f>
        <v>22.52</v>
      </c>
      <c r="F124" s="190">
        <f>4.87+8.96</f>
        <v>13.830000000000002</v>
      </c>
      <c r="G124" s="190">
        <v>292.92</v>
      </c>
    </row>
    <row r="125" spans="1:25" x14ac:dyDescent="0.2">
      <c r="A125" s="189" t="s">
        <v>131</v>
      </c>
      <c r="B125" s="182" t="s">
        <v>146</v>
      </c>
      <c r="C125" s="189">
        <v>90</v>
      </c>
      <c r="D125" s="190">
        <v>11.84</v>
      </c>
      <c r="E125" s="190">
        <v>10.06</v>
      </c>
      <c r="F125" s="190">
        <v>16.03</v>
      </c>
      <c r="G125" s="190">
        <v>208</v>
      </c>
    </row>
    <row r="126" spans="1:25" x14ac:dyDescent="0.2">
      <c r="A126" s="189" t="s">
        <v>166</v>
      </c>
      <c r="B126" s="182" t="s">
        <v>167</v>
      </c>
      <c r="C126" s="189">
        <v>150</v>
      </c>
      <c r="D126" s="190">
        <v>3.14</v>
      </c>
      <c r="E126" s="190">
        <v>3.27</v>
      </c>
      <c r="F126" s="190">
        <v>22.34</v>
      </c>
      <c r="G126" s="190">
        <v>136.5</v>
      </c>
    </row>
    <row r="127" spans="1:25" ht="17.25" customHeight="1" x14ac:dyDescent="0.2">
      <c r="A127" s="196" t="s">
        <v>42</v>
      </c>
      <c r="B127" s="182" t="s">
        <v>223</v>
      </c>
      <c r="C127" s="189">
        <v>200</v>
      </c>
      <c r="D127" s="190">
        <v>1.1499999999999999</v>
      </c>
      <c r="E127" s="190"/>
      <c r="F127" s="190">
        <v>12.03</v>
      </c>
      <c r="G127" s="190">
        <v>55.4</v>
      </c>
    </row>
    <row r="128" spans="1:25" x14ac:dyDescent="0.2">
      <c r="A128" s="206"/>
      <c r="B128" s="182" t="s">
        <v>37</v>
      </c>
      <c r="C128" s="189">
        <v>20</v>
      </c>
      <c r="D128" s="190">
        <v>1</v>
      </c>
      <c r="E128" s="190">
        <v>0.08</v>
      </c>
      <c r="F128" s="190">
        <v>8</v>
      </c>
      <c r="G128" s="190">
        <v>38.520000000000003</v>
      </c>
    </row>
    <row r="129" spans="1:7" x14ac:dyDescent="0.2">
      <c r="A129" s="283" t="s">
        <v>252</v>
      </c>
      <c r="B129" s="283"/>
      <c r="C129" s="187">
        <f>SUM(C123:C128)</f>
        <v>730</v>
      </c>
      <c r="D129" s="190"/>
      <c r="E129" s="190"/>
      <c r="F129" s="190"/>
      <c r="G129" s="190"/>
    </row>
    <row r="130" spans="1:7" ht="27.95" customHeight="1" x14ac:dyDescent="0.2">
      <c r="A130" s="266" t="s">
        <v>250</v>
      </c>
      <c r="B130" s="266"/>
      <c r="C130" s="266"/>
      <c r="D130" s="186">
        <f>D131+D138</f>
        <v>49.44</v>
      </c>
      <c r="E130" s="186">
        <f t="shared" ref="E130:F130" si="9">E131+E138</f>
        <v>30.969999999999995</v>
      </c>
      <c r="F130" s="186">
        <f t="shared" si="9"/>
        <v>184.49</v>
      </c>
      <c r="G130" s="186">
        <f>G131+G138</f>
        <v>1261.326</v>
      </c>
    </row>
    <row r="131" spans="1:7" x14ac:dyDescent="0.2">
      <c r="A131" s="187"/>
      <c r="B131" s="266" t="s">
        <v>66</v>
      </c>
      <c r="C131" s="266"/>
      <c r="D131" s="186">
        <f>D132+D133+D134+D135+D136</f>
        <v>28.65</v>
      </c>
      <c r="E131" s="186">
        <f>E132+E133+E134+E135+E136</f>
        <v>11.989999999999998</v>
      </c>
      <c r="F131" s="186">
        <f>F132+F133+F134+F135+F136</f>
        <v>73.56</v>
      </c>
      <c r="G131" s="186">
        <f>G132+G133+G134+G135+G136</f>
        <v>537.27199999999993</v>
      </c>
    </row>
    <row r="132" spans="1:7" ht="13.5" customHeight="1" x14ac:dyDescent="0.2">
      <c r="A132" s="189"/>
      <c r="B132" s="182" t="s">
        <v>168</v>
      </c>
      <c r="C132" s="189">
        <v>40</v>
      </c>
      <c r="D132" s="190">
        <v>5.08</v>
      </c>
      <c r="E132" s="190">
        <v>4.5999999999999996</v>
      </c>
      <c r="F132" s="190">
        <v>0.28000000000000003</v>
      </c>
      <c r="G132" s="190">
        <v>63.911999999999999</v>
      </c>
    </row>
    <row r="133" spans="1:7" ht="25.5" x14ac:dyDescent="0.2">
      <c r="A133" s="199" t="s">
        <v>39</v>
      </c>
      <c r="B133" s="211" t="s">
        <v>264</v>
      </c>
      <c r="C133" s="199">
        <v>120</v>
      </c>
      <c r="D133" s="200">
        <f>18.92+0.06</f>
        <v>18.98</v>
      </c>
      <c r="E133" s="200">
        <f>7.01+0.06</f>
        <v>7.0699999999999994</v>
      </c>
      <c r="F133" s="200">
        <f>15+16.77</f>
        <v>31.77</v>
      </c>
      <c r="G133" s="200">
        <v>276.77999999999997</v>
      </c>
    </row>
    <row r="134" spans="1:7" x14ac:dyDescent="0.2">
      <c r="A134" s="189"/>
      <c r="B134" s="182" t="s">
        <v>41</v>
      </c>
      <c r="C134" s="189">
        <v>100</v>
      </c>
      <c r="D134" s="190">
        <v>0.4</v>
      </c>
      <c r="E134" s="190">
        <v>0</v>
      </c>
      <c r="F134" s="190">
        <v>9.8000000000000007</v>
      </c>
      <c r="G134" s="190">
        <v>42.84</v>
      </c>
    </row>
    <row r="135" spans="1:7" x14ac:dyDescent="0.2">
      <c r="A135" s="189" t="s">
        <v>42</v>
      </c>
      <c r="B135" s="182" t="s">
        <v>223</v>
      </c>
      <c r="C135" s="189">
        <v>200</v>
      </c>
      <c r="D135" s="190">
        <v>1.1499999999999999</v>
      </c>
      <c r="E135" s="190"/>
      <c r="F135" s="190">
        <v>12.03</v>
      </c>
      <c r="G135" s="190">
        <v>55.4</v>
      </c>
    </row>
    <row r="136" spans="1:7" x14ac:dyDescent="0.2">
      <c r="A136" s="196"/>
      <c r="B136" s="191" t="s">
        <v>11</v>
      </c>
      <c r="C136" s="196">
        <v>40</v>
      </c>
      <c r="D136" s="192">
        <v>3.04</v>
      </c>
      <c r="E136" s="192">
        <v>0.32</v>
      </c>
      <c r="F136" s="192">
        <v>19.68</v>
      </c>
      <c r="G136" s="192">
        <v>98.34</v>
      </c>
    </row>
    <row r="137" spans="1:7" x14ac:dyDescent="0.2">
      <c r="A137" s="283" t="s">
        <v>252</v>
      </c>
      <c r="B137" s="283"/>
      <c r="C137" s="187">
        <f>SUM(C132:C136)</f>
        <v>500</v>
      </c>
      <c r="D137" s="190"/>
      <c r="E137" s="190"/>
      <c r="F137" s="190"/>
      <c r="G137" s="190"/>
    </row>
    <row r="138" spans="1:7" ht="18.75" customHeight="1" x14ac:dyDescent="0.2">
      <c r="A138" s="189"/>
      <c r="B138" s="284" t="s">
        <v>67</v>
      </c>
      <c r="C138" s="284"/>
      <c r="D138" s="186">
        <f>D139+D140+D141+D142+D143+D144</f>
        <v>20.79</v>
      </c>
      <c r="E138" s="186">
        <f>E139+E140+E141+E142+E143+E144</f>
        <v>18.979999999999997</v>
      </c>
      <c r="F138" s="186">
        <f>F139+F140+F141+F142+F143+F144</f>
        <v>110.93</v>
      </c>
      <c r="G138" s="186">
        <f>G139+G140+G141+G142+G143+G144</f>
        <v>724.05399999999997</v>
      </c>
    </row>
    <row r="139" spans="1:7" x14ac:dyDescent="0.2">
      <c r="A139" s="206" t="s">
        <v>193</v>
      </c>
      <c r="B139" s="182" t="s">
        <v>148</v>
      </c>
      <c r="C139" s="189">
        <v>60</v>
      </c>
      <c r="D139" s="190">
        <v>0.74</v>
      </c>
      <c r="E139" s="190">
        <v>0.06</v>
      </c>
      <c r="F139" s="190">
        <v>16.920000000000002</v>
      </c>
      <c r="G139" s="190">
        <v>74.709999999999994</v>
      </c>
    </row>
    <row r="140" spans="1:7" ht="25.5" x14ac:dyDescent="0.2">
      <c r="A140" s="189" t="s">
        <v>124</v>
      </c>
      <c r="B140" s="182" t="s">
        <v>156</v>
      </c>
      <c r="C140" s="189">
        <v>205</v>
      </c>
      <c r="D140" s="190">
        <v>3.96</v>
      </c>
      <c r="E140" s="190">
        <v>4.8600000000000003</v>
      </c>
      <c r="F140" s="190">
        <v>17.010000000000002</v>
      </c>
      <c r="G140" s="190">
        <v>131.81399999999999</v>
      </c>
    </row>
    <row r="141" spans="1:7" x14ac:dyDescent="0.2">
      <c r="A141" s="189" t="s">
        <v>237</v>
      </c>
      <c r="B141" s="182" t="s">
        <v>140</v>
      </c>
      <c r="C141" s="189">
        <v>115</v>
      </c>
      <c r="D141" s="190">
        <v>6.32</v>
      </c>
      <c r="E141" s="190">
        <v>8.7899999999999991</v>
      </c>
      <c r="F141" s="190">
        <v>19.37</v>
      </c>
      <c r="G141" s="190">
        <v>187.01</v>
      </c>
    </row>
    <row r="142" spans="1:7" x14ac:dyDescent="0.2">
      <c r="A142" s="196" t="s">
        <v>38</v>
      </c>
      <c r="B142" s="182" t="s">
        <v>36</v>
      </c>
      <c r="C142" s="189">
        <v>150</v>
      </c>
      <c r="D142" s="190">
        <v>8.77</v>
      </c>
      <c r="E142" s="190">
        <v>5.19</v>
      </c>
      <c r="F142" s="190">
        <v>39.630000000000003</v>
      </c>
      <c r="G142" s="190">
        <v>250</v>
      </c>
    </row>
    <row r="143" spans="1:7" x14ac:dyDescent="0.2">
      <c r="A143" s="189" t="s">
        <v>182</v>
      </c>
      <c r="B143" s="182" t="s">
        <v>10</v>
      </c>
      <c r="C143" s="189">
        <v>200</v>
      </c>
      <c r="D143" s="190">
        <v>0</v>
      </c>
      <c r="E143" s="190">
        <v>0</v>
      </c>
      <c r="F143" s="190">
        <v>10</v>
      </c>
      <c r="G143" s="190">
        <v>42</v>
      </c>
    </row>
    <row r="144" spans="1:7" ht="12" customHeight="1" x14ac:dyDescent="0.2">
      <c r="A144" s="206"/>
      <c r="B144" s="182" t="s">
        <v>37</v>
      </c>
      <c r="C144" s="189">
        <v>20</v>
      </c>
      <c r="D144" s="190">
        <v>1</v>
      </c>
      <c r="E144" s="190">
        <v>0.08</v>
      </c>
      <c r="F144" s="190">
        <v>8</v>
      </c>
      <c r="G144" s="190">
        <v>38.520000000000003</v>
      </c>
    </row>
    <row r="145" spans="1:26" x14ac:dyDescent="0.2">
      <c r="A145" s="283" t="s">
        <v>252</v>
      </c>
      <c r="B145" s="283"/>
      <c r="C145" s="187">
        <f>SUM(C139:C144)</f>
        <v>750</v>
      </c>
      <c r="D145" s="190"/>
      <c r="E145" s="190"/>
      <c r="F145" s="190"/>
      <c r="G145" s="190"/>
    </row>
    <row r="146" spans="1:26" ht="27.95" customHeight="1" x14ac:dyDescent="0.2">
      <c r="A146" s="266" t="s">
        <v>251</v>
      </c>
      <c r="B146" s="266"/>
      <c r="C146" s="266"/>
      <c r="D146" s="186">
        <f>D147+D154</f>
        <v>46.149999999999991</v>
      </c>
      <c r="E146" s="186">
        <f t="shared" ref="E146:F146" si="10">E147+E154</f>
        <v>47.069999999999993</v>
      </c>
      <c r="F146" s="186">
        <f t="shared" si="10"/>
        <v>159.06</v>
      </c>
      <c r="G146" s="186">
        <f>G147+G154</f>
        <v>1287.23</v>
      </c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2"/>
    </row>
    <row r="147" spans="1:26" x14ac:dyDescent="0.2">
      <c r="A147" s="187"/>
      <c r="B147" s="266" t="s">
        <v>66</v>
      </c>
      <c r="C147" s="266"/>
      <c r="D147" s="186">
        <f>D148+D149+D150+D151+D152</f>
        <v>24.859999999999996</v>
      </c>
      <c r="E147" s="186">
        <f>E148+E149+E150+E151+E152</f>
        <v>13.040000000000001</v>
      </c>
      <c r="F147" s="186">
        <f>F148+F149+F150+F151+F152</f>
        <v>74.819999999999993</v>
      </c>
      <c r="G147" s="186">
        <f>G148+G149+G150+G151+G152</f>
        <v>536.82000000000005</v>
      </c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2"/>
    </row>
    <row r="148" spans="1:26" x14ac:dyDescent="0.2">
      <c r="A148" s="189" t="s">
        <v>233</v>
      </c>
      <c r="B148" s="182" t="s">
        <v>170</v>
      </c>
      <c r="C148" s="189">
        <v>100</v>
      </c>
      <c r="D148" s="190">
        <v>17.829999999999998</v>
      </c>
      <c r="E148" s="190">
        <v>7.99</v>
      </c>
      <c r="F148" s="190">
        <v>4.25</v>
      </c>
      <c r="G148" s="190">
        <v>165</v>
      </c>
      <c r="H148" s="197"/>
      <c r="I148" s="197"/>
      <c r="J148" s="197"/>
      <c r="K148" s="197"/>
      <c r="L148" s="197"/>
      <c r="M148" s="197"/>
      <c r="N148" s="197"/>
      <c r="O148" s="184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</row>
    <row r="149" spans="1:26" x14ac:dyDescent="0.2">
      <c r="A149" s="196" t="s">
        <v>189</v>
      </c>
      <c r="B149" s="182" t="s">
        <v>159</v>
      </c>
      <c r="C149" s="189">
        <v>150</v>
      </c>
      <c r="D149" s="190">
        <v>3.81</v>
      </c>
      <c r="E149" s="190">
        <v>2.72</v>
      </c>
      <c r="F149" s="190">
        <v>40</v>
      </c>
      <c r="G149" s="190">
        <v>208.48</v>
      </c>
      <c r="H149" s="197"/>
      <c r="I149" s="197"/>
      <c r="J149" s="197"/>
      <c r="K149" s="197"/>
      <c r="L149" s="197"/>
      <c r="M149" s="184"/>
      <c r="N149" s="184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</row>
    <row r="150" spans="1:26" x14ac:dyDescent="0.2">
      <c r="A150" s="206" t="s">
        <v>191</v>
      </c>
      <c r="B150" s="182" t="s">
        <v>171</v>
      </c>
      <c r="C150" s="189">
        <v>20</v>
      </c>
      <c r="D150" s="190">
        <v>0.18</v>
      </c>
      <c r="E150" s="190">
        <v>2.0099999999999998</v>
      </c>
      <c r="F150" s="190">
        <v>0.89</v>
      </c>
      <c r="G150" s="190">
        <v>23</v>
      </c>
      <c r="H150" s="197"/>
      <c r="I150" s="184"/>
      <c r="J150" s="197"/>
      <c r="K150" s="197"/>
      <c r="L150" s="197"/>
      <c r="M150" s="197"/>
      <c r="N150" s="197"/>
      <c r="O150" s="184"/>
      <c r="P150" s="184"/>
      <c r="Q150" s="184"/>
      <c r="R150" s="184"/>
      <c r="S150" s="184"/>
      <c r="T150" s="184"/>
      <c r="U150" s="184"/>
      <c r="V150" s="197"/>
      <c r="W150" s="184"/>
      <c r="X150" s="184"/>
      <c r="Y150" s="197"/>
    </row>
    <row r="151" spans="1:26" x14ac:dyDescent="0.2">
      <c r="A151" s="189" t="s">
        <v>182</v>
      </c>
      <c r="B151" s="182" t="s">
        <v>10</v>
      </c>
      <c r="C151" s="206">
        <v>200</v>
      </c>
      <c r="D151" s="190">
        <v>0</v>
      </c>
      <c r="E151" s="190">
        <v>0</v>
      </c>
      <c r="F151" s="190">
        <v>10</v>
      </c>
      <c r="G151" s="190">
        <v>42</v>
      </c>
      <c r="H151" s="197"/>
      <c r="I151" s="184"/>
      <c r="J151" s="197"/>
      <c r="K151" s="197"/>
      <c r="L151" s="197"/>
      <c r="M151" s="197"/>
      <c r="N151" s="197"/>
      <c r="O151" s="184"/>
      <c r="P151" s="184"/>
      <c r="Q151" s="184"/>
      <c r="R151" s="184"/>
      <c r="S151" s="184"/>
      <c r="T151" s="184"/>
      <c r="U151" s="184"/>
      <c r="V151" s="197"/>
      <c r="W151" s="184"/>
      <c r="X151" s="184"/>
      <c r="Y151" s="197"/>
    </row>
    <row r="152" spans="1:26" x14ac:dyDescent="0.2">
      <c r="A152" s="196"/>
      <c r="B152" s="191" t="s">
        <v>11</v>
      </c>
      <c r="C152" s="196">
        <v>40</v>
      </c>
      <c r="D152" s="192">
        <v>3.04</v>
      </c>
      <c r="E152" s="192">
        <v>0.32</v>
      </c>
      <c r="F152" s="192">
        <v>19.68</v>
      </c>
      <c r="G152" s="192">
        <v>98.34</v>
      </c>
      <c r="H152" s="197"/>
      <c r="I152" s="198"/>
      <c r="J152" s="197"/>
      <c r="K152" s="197"/>
      <c r="L152" s="198"/>
      <c r="M152" s="184"/>
      <c r="N152" s="184"/>
      <c r="O152" s="184"/>
      <c r="P152" s="184"/>
      <c r="Q152" s="184"/>
      <c r="R152" s="184"/>
      <c r="S152" s="184"/>
      <c r="T152" s="184"/>
      <c r="U152" s="184"/>
      <c r="V152" s="197"/>
      <c r="W152" s="184"/>
      <c r="X152" s="184"/>
      <c r="Y152" s="198"/>
    </row>
    <row r="153" spans="1:26" x14ac:dyDescent="0.2">
      <c r="A153" s="283" t="s">
        <v>252</v>
      </c>
      <c r="B153" s="283"/>
      <c r="C153" s="208">
        <f>SUM(C148:C152)</f>
        <v>510</v>
      </c>
      <c r="D153" s="190"/>
      <c r="E153" s="190"/>
      <c r="F153" s="190"/>
      <c r="G153" s="190"/>
      <c r="H153" s="203"/>
      <c r="I153" s="204"/>
      <c r="J153" s="203"/>
      <c r="K153" s="203"/>
      <c r="L153" s="203"/>
      <c r="M153" s="205"/>
      <c r="N153" s="205"/>
      <c r="O153" s="204"/>
      <c r="P153" s="204"/>
      <c r="Q153" s="204"/>
      <c r="R153" s="204"/>
      <c r="S153" s="204"/>
      <c r="T153" s="204"/>
      <c r="U153" s="204"/>
      <c r="V153" s="205"/>
      <c r="W153" s="204"/>
      <c r="X153" s="204"/>
      <c r="Y153" s="205"/>
    </row>
    <row r="154" spans="1:26" x14ac:dyDescent="0.2">
      <c r="A154" s="189"/>
      <c r="B154" s="284" t="s">
        <v>67</v>
      </c>
      <c r="C154" s="284"/>
      <c r="D154" s="186">
        <f t="shared" ref="D154:G154" si="11">D155+D156+D157+D158+D159+D160</f>
        <v>21.289999999999996</v>
      </c>
      <c r="E154" s="186">
        <f t="shared" si="11"/>
        <v>34.029999999999994</v>
      </c>
      <c r="F154" s="186">
        <f t="shared" si="11"/>
        <v>84.240000000000009</v>
      </c>
      <c r="G154" s="186">
        <f t="shared" si="11"/>
        <v>750.41</v>
      </c>
      <c r="H154" s="203"/>
      <c r="I154" s="204"/>
      <c r="J154" s="203"/>
      <c r="K154" s="203"/>
      <c r="L154" s="203"/>
      <c r="M154" s="205"/>
      <c r="N154" s="205"/>
      <c r="O154" s="204"/>
      <c r="P154" s="204"/>
      <c r="Q154" s="204"/>
      <c r="R154" s="204"/>
      <c r="S154" s="204"/>
      <c r="T154" s="204"/>
      <c r="U154" s="204"/>
      <c r="V154" s="205"/>
      <c r="W154" s="204"/>
      <c r="X154" s="204"/>
      <c r="Y154" s="205"/>
    </row>
    <row r="155" spans="1:26" x14ac:dyDescent="0.2">
      <c r="A155" s="189" t="s">
        <v>142</v>
      </c>
      <c r="B155" s="182" t="s">
        <v>143</v>
      </c>
      <c r="C155" s="189">
        <v>60</v>
      </c>
      <c r="D155" s="190">
        <v>0.9</v>
      </c>
      <c r="E155" s="190">
        <v>0.06</v>
      </c>
      <c r="F155" s="190">
        <v>5.28</v>
      </c>
      <c r="G155" s="190">
        <v>27</v>
      </c>
      <c r="H155" s="203"/>
      <c r="I155" s="204"/>
      <c r="J155" s="203"/>
      <c r="K155" s="203"/>
      <c r="L155" s="203"/>
      <c r="M155" s="205"/>
      <c r="N155" s="205"/>
      <c r="O155" s="204"/>
      <c r="P155" s="204"/>
      <c r="Q155" s="204"/>
      <c r="R155" s="204"/>
      <c r="S155" s="204"/>
      <c r="T155" s="204"/>
      <c r="U155" s="204"/>
      <c r="V155" s="205"/>
      <c r="W155" s="204"/>
      <c r="X155" s="204"/>
      <c r="Y155" s="205"/>
    </row>
    <row r="156" spans="1:26" ht="25.5" x14ac:dyDescent="0.2">
      <c r="A156" s="196" t="s">
        <v>101</v>
      </c>
      <c r="B156" s="182" t="s">
        <v>172</v>
      </c>
      <c r="C156" s="189">
        <v>205</v>
      </c>
      <c r="D156" s="190">
        <v>5.81</v>
      </c>
      <c r="E156" s="190">
        <v>11.82</v>
      </c>
      <c r="F156" s="190">
        <v>15.48</v>
      </c>
      <c r="G156" s="190">
        <v>196</v>
      </c>
      <c r="H156" s="203"/>
      <c r="I156" s="204"/>
      <c r="J156" s="203"/>
      <c r="K156" s="203"/>
      <c r="L156" s="203"/>
      <c r="M156" s="205"/>
      <c r="N156" s="205"/>
      <c r="O156" s="204"/>
      <c r="P156" s="204"/>
      <c r="Q156" s="204"/>
      <c r="R156" s="204"/>
      <c r="S156" s="204"/>
      <c r="T156" s="204"/>
      <c r="U156" s="204"/>
      <c r="V156" s="205"/>
      <c r="W156" s="204"/>
      <c r="X156" s="204"/>
      <c r="Y156" s="205"/>
    </row>
    <row r="157" spans="1:26" x14ac:dyDescent="0.2">
      <c r="A157" s="189" t="s">
        <v>228</v>
      </c>
      <c r="B157" s="182" t="s">
        <v>151</v>
      </c>
      <c r="C157" s="189">
        <v>105</v>
      </c>
      <c r="D157" s="190">
        <v>6.14</v>
      </c>
      <c r="E157" s="190">
        <v>11.91</v>
      </c>
      <c r="F157" s="190">
        <v>10.92</v>
      </c>
      <c r="G157" s="190">
        <v>178.84</v>
      </c>
      <c r="H157" s="203"/>
      <c r="I157" s="204"/>
      <c r="J157" s="203"/>
      <c r="K157" s="203"/>
      <c r="L157" s="203"/>
      <c r="M157" s="205"/>
      <c r="N157" s="205"/>
      <c r="O157" s="204"/>
      <c r="P157" s="204"/>
      <c r="Q157" s="204"/>
      <c r="R157" s="204"/>
      <c r="S157" s="204"/>
      <c r="T157" s="204"/>
      <c r="U157" s="204"/>
      <c r="V157" s="205"/>
      <c r="W157" s="204"/>
      <c r="X157" s="204"/>
      <c r="Y157" s="205"/>
    </row>
    <row r="158" spans="1:26" ht="12" customHeight="1" x14ac:dyDescent="0.2">
      <c r="A158" s="189" t="s">
        <v>132</v>
      </c>
      <c r="B158" s="182" t="s">
        <v>133</v>
      </c>
      <c r="C158" s="189">
        <v>150</v>
      </c>
      <c r="D158" s="190">
        <v>5.77</v>
      </c>
      <c r="E158" s="190">
        <v>10.08</v>
      </c>
      <c r="F158" s="190">
        <v>30.69</v>
      </c>
      <c r="G158" s="190">
        <v>244</v>
      </c>
      <c r="H158" s="203"/>
      <c r="I158" s="204"/>
      <c r="J158" s="203"/>
      <c r="K158" s="203"/>
      <c r="L158" s="203"/>
      <c r="M158" s="205"/>
      <c r="N158" s="205"/>
      <c r="O158" s="204"/>
      <c r="P158" s="204"/>
      <c r="Q158" s="204"/>
      <c r="R158" s="204"/>
      <c r="S158" s="204"/>
      <c r="T158" s="204"/>
      <c r="U158" s="204"/>
      <c r="V158" s="205"/>
      <c r="W158" s="204"/>
      <c r="X158" s="204"/>
      <c r="Y158" s="205"/>
    </row>
    <row r="159" spans="1:26" x14ac:dyDescent="0.2">
      <c r="A159" s="196" t="s">
        <v>42</v>
      </c>
      <c r="B159" s="182" t="s">
        <v>223</v>
      </c>
      <c r="C159" s="189">
        <v>200</v>
      </c>
      <c r="D159" s="190">
        <v>1.1499999999999999</v>
      </c>
      <c r="E159" s="190"/>
      <c r="F159" s="190">
        <v>12.03</v>
      </c>
      <c r="G159" s="190">
        <v>55.4</v>
      </c>
      <c r="H159" s="203"/>
      <c r="I159" s="204"/>
      <c r="J159" s="203"/>
      <c r="K159" s="203"/>
      <c r="L159" s="203"/>
      <c r="M159" s="205"/>
      <c r="N159" s="205"/>
      <c r="O159" s="204"/>
      <c r="P159" s="204"/>
      <c r="Q159" s="204"/>
      <c r="R159" s="204"/>
      <c r="S159" s="204"/>
      <c r="T159" s="204"/>
      <c r="U159" s="204"/>
      <c r="V159" s="205"/>
      <c r="W159" s="204"/>
      <c r="X159" s="204"/>
      <c r="Y159" s="205"/>
    </row>
    <row r="160" spans="1:26" x14ac:dyDescent="0.2">
      <c r="A160" s="206"/>
      <c r="B160" s="182" t="s">
        <v>11</v>
      </c>
      <c r="C160" s="189">
        <v>20</v>
      </c>
      <c r="D160" s="190">
        <v>1.52</v>
      </c>
      <c r="E160" s="190">
        <v>0.16</v>
      </c>
      <c r="F160" s="190">
        <v>9.84</v>
      </c>
      <c r="G160" s="190">
        <v>49.17</v>
      </c>
      <c r="H160" s="203"/>
      <c r="I160" s="204"/>
      <c r="J160" s="203"/>
      <c r="K160" s="203"/>
      <c r="L160" s="203"/>
      <c r="M160" s="205"/>
      <c r="N160" s="205"/>
      <c r="O160" s="204"/>
      <c r="P160" s="204"/>
      <c r="Q160" s="204"/>
      <c r="R160" s="204"/>
      <c r="S160" s="204"/>
      <c r="T160" s="204"/>
      <c r="U160" s="204"/>
      <c r="V160" s="205"/>
      <c r="W160" s="204"/>
      <c r="X160" s="204"/>
      <c r="Y160" s="205"/>
    </row>
    <row r="161" spans="1:25" x14ac:dyDescent="0.2">
      <c r="A161" s="283" t="s">
        <v>252</v>
      </c>
      <c r="B161" s="283"/>
      <c r="C161" s="187">
        <f>SUM(C155:C160)</f>
        <v>740</v>
      </c>
      <c r="D161" s="190"/>
      <c r="E161" s="190"/>
      <c r="F161" s="190"/>
      <c r="G161" s="190"/>
      <c r="H161" s="203"/>
      <c r="I161" s="204"/>
      <c r="J161" s="203"/>
      <c r="K161" s="203"/>
      <c r="L161" s="203"/>
      <c r="M161" s="205"/>
      <c r="N161" s="205"/>
      <c r="O161" s="204"/>
      <c r="P161" s="204"/>
      <c r="Q161" s="204"/>
      <c r="R161" s="204"/>
      <c r="S161" s="204"/>
      <c r="T161" s="204"/>
      <c r="U161" s="204"/>
      <c r="V161" s="205"/>
      <c r="W161" s="204"/>
      <c r="X161" s="204"/>
      <c r="Y161" s="205"/>
    </row>
    <row r="162" spans="1:25" ht="27" customHeight="1" x14ac:dyDescent="0.2">
      <c r="A162" s="269" t="s">
        <v>265</v>
      </c>
      <c r="B162" s="269"/>
      <c r="C162" s="269"/>
      <c r="D162" s="232">
        <f>D163+D171</f>
        <v>43.870000000000005</v>
      </c>
      <c r="E162" s="232">
        <f t="shared" ref="E162:G162" si="12">E163+E171</f>
        <v>51.95</v>
      </c>
      <c r="F162" s="232">
        <f t="shared" si="12"/>
        <v>176.43</v>
      </c>
      <c r="G162" s="232">
        <f t="shared" si="12"/>
        <v>1391.49</v>
      </c>
    </row>
    <row r="163" spans="1:25" x14ac:dyDescent="0.2">
      <c r="A163" s="233"/>
      <c r="B163" s="234" t="s">
        <v>66</v>
      </c>
      <c r="C163" s="233"/>
      <c r="D163" s="232">
        <f>D164+D165+D166+D167+D168+D169</f>
        <v>17.190000000000001</v>
      </c>
      <c r="E163" s="232">
        <f t="shared" ref="E163:G163" si="13">E164+E165+E166+E167+E168+E169</f>
        <v>20.77</v>
      </c>
      <c r="F163" s="232">
        <f t="shared" si="13"/>
        <v>96.19</v>
      </c>
      <c r="G163" s="232">
        <f t="shared" si="13"/>
        <v>664.29000000000008</v>
      </c>
    </row>
    <row r="164" spans="1:25" x14ac:dyDescent="0.2">
      <c r="A164" s="235" t="s">
        <v>181</v>
      </c>
      <c r="B164" s="236" t="s">
        <v>35</v>
      </c>
      <c r="C164" s="235">
        <v>10</v>
      </c>
      <c r="D164" s="237">
        <v>2.6</v>
      </c>
      <c r="E164" s="237">
        <v>2.65</v>
      </c>
      <c r="F164" s="237">
        <v>0.35</v>
      </c>
      <c r="G164" s="237">
        <v>36.24</v>
      </c>
    </row>
    <row r="165" spans="1:25" x14ac:dyDescent="0.2">
      <c r="A165" s="235" t="s">
        <v>179</v>
      </c>
      <c r="B165" s="236" t="s">
        <v>136</v>
      </c>
      <c r="C165" s="235">
        <v>5</v>
      </c>
      <c r="D165" s="237">
        <v>0.05</v>
      </c>
      <c r="E165" s="237">
        <v>3.63</v>
      </c>
      <c r="F165" s="237">
        <v>7.0000000000000007E-2</v>
      </c>
      <c r="G165" s="237">
        <v>33.11</v>
      </c>
    </row>
    <row r="166" spans="1:25" ht="25.5" x14ac:dyDescent="0.2">
      <c r="A166" s="235" t="s">
        <v>180</v>
      </c>
      <c r="B166" s="236" t="s">
        <v>208</v>
      </c>
      <c r="C166" s="235">
        <v>205</v>
      </c>
      <c r="D166" s="237">
        <v>8.5</v>
      </c>
      <c r="E166" s="237">
        <v>9.4499999999999993</v>
      </c>
      <c r="F166" s="237">
        <v>36.130000000000003</v>
      </c>
      <c r="G166" s="237">
        <v>272.60000000000002</v>
      </c>
    </row>
    <row r="167" spans="1:25" x14ac:dyDescent="0.2">
      <c r="A167" s="235"/>
      <c r="B167" s="236" t="s">
        <v>62</v>
      </c>
      <c r="C167" s="235">
        <v>40</v>
      </c>
      <c r="D167" s="237">
        <v>3</v>
      </c>
      <c r="E167" s="237">
        <v>4.72</v>
      </c>
      <c r="F167" s="237">
        <v>29.96</v>
      </c>
      <c r="G167" s="237">
        <v>182</v>
      </c>
    </row>
    <row r="168" spans="1:25" x14ac:dyDescent="0.2">
      <c r="A168" s="238" t="s">
        <v>182</v>
      </c>
      <c r="B168" s="236" t="s">
        <v>10</v>
      </c>
      <c r="C168" s="239">
        <v>200</v>
      </c>
      <c r="D168" s="237">
        <v>0</v>
      </c>
      <c r="E168" s="237">
        <v>0</v>
      </c>
      <c r="F168" s="237">
        <v>10</v>
      </c>
      <c r="G168" s="237">
        <v>42</v>
      </c>
    </row>
    <row r="169" spans="1:25" x14ac:dyDescent="0.2">
      <c r="A169" s="235"/>
      <c r="B169" s="236" t="s">
        <v>11</v>
      </c>
      <c r="C169" s="235">
        <v>40</v>
      </c>
      <c r="D169" s="237">
        <v>3.04</v>
      </c>
      <c r="E169" s="237">
        <v>0.32</v>
      </c>
      <c r="F169" s="237">
        <v>19.68</v>
      </c>
      <c r="G169" s="237">
        <v>98.34</v>
      </c>
    </row>
    <row r="170" spans="1:25" x14ac:dyDescent="0.2">
      <c r="A170" s="270" t="s">
        <v>252</v>
      </c>
      <c r="B170" s="271"/>
      <c r="C170" s="240">
        <f>SUM(C164:C169)</f>
        <v>500</v>
      </c>
      <c r="D170" s="241"/>
      <c r="E170" s="241"/>
      <c r="F170" s="241"/>
      <c r="G170" s="241"/>
    </row>
    <row r="171" spans="1:25" x14ac:dyDescent="0.2">
      <c r="A171" s="238"/>
      <c r="B171" s="285" t="s">
        <v>67</v>
      </c>
      <c r="C171" s="285"/>
      <c r="D171" s="248">
        <f>D172+D173+D174+D175+D177</f>
        <v>26.680000000000003</v>
      </c>
      <c r="E171" s="248">
        <f t="shared" ref="E171:F171" si="14">E172+E173+E174+E175+E177</f>
        <v>31.180000000000003</v>
      </c>
      <c r="F171" s="248">
        <f t="shared" si="14"/>
        <v>80.240000000000009</v>
      </c>
      <c r="G171" s="248">
        <f>G172+G173+G174+G175+G177</f>
        <v>727.19999999999993</v>
      </c>
    </row>
    <row r="172" spans="1:25" x14ac:dyDescent="0.2">
      <c r="A172" s="235" t="s">
        <v>82</v>
      </c>
      <c r="B172" s="242" t="s">
        <v>83</v>
      </c>
      <c r="C172" s="249">
        <v>60</v>
      </c>
      <c r="D172" s="237">
        <v>1.21</v>
      </c>
      <c r="E172" s="237">
        <v>6.2</v>
      </c>
      <c r="F172" s="237">
        <v>12.33</v>
      </c>
      <c r="G172" s="237">
        <v>113</v>
      </c>
    </row>
    <row r="173" spans="1:25" x14ac:dyDescent="0.2">
      <c r="A173" s="235" t="s">
        <v>290</v>
      </c>
      <c r="B173" s="242" t="s">
        <v>289</v>
      </c>
      <c r="C173" s="235">
        <v>205</v>
      </c>
      <c r="D173" s="237">
        <v>1.96</v>
      </c>
      <c r="E173" s="237">
        <v>4.45</v>
      </c>
      <c r="F173" s="237">
        <v>13.72</v>
      </c>
      <c r="G173" s="237">
        <v>102.73</v>
      </c>
    </row>
    <row r="174" spans="1:25" x14ac:dyDescent="0.2">
      <c r="A174" s="235" t="s">
        <v>227</v>
      </c>
      <c r="B174" s="242" t="s">
        <v>154</v>
      </c>
      <c r="C174" s="235">
        <v>110</v>
      </c>
      <c r="D174" s="237">
        <v>5.73</v>
      </c>
      <c r="E174" s="237">
        <v>16.34</v>
      </c>
      <c r="F174" s="237">
        <v>10.38</v>
      </c>
      <c r="G174" s="237">
        <v>215</v>
      </c>
    </row>
    <row r="175" spans="1:25" x14ac:dyDescent="0.2">
      <c r="A175" s="238" t="s">
        <v>134</v>
      </c>
      <c r="B175" s="242" t="s">
        <v>155</v>
      </c>
      <c r="C175" s="235">
        <v>150</v>
      </c>
      <c r="D175" s="237">
        <v>16.260000000000002</v>
      </c>
      <c r="E175" s="237">
        <v>4.03</v>
      </c>
      <c r="F175" s="237">
        <v>33.97</v>
      </c>
      <c r="G175" s="237">
        <v>247.3</v>
      </c>
    </row>
    <row r="176" spans="1:25" ht="25.5" x14ac:dyDescent="0.2">
      <c r="A176" s="235" t="s">
        <v>42</v>
      </c>
      <c r="B176" s="236" t="s">
        <v>224</v>
      </c>
      <c r="C176" s="235">
        <v>200</v>
      </c>
      <c r="D176" s="237">
        <v>1</v>
      </c>
      <c r="E176" s="237">
        <v>0.1</v>
      </c>
      <c r="F176" s="237">
        <v>31</v>
      </c>
      <c r="G176" s="237">
        <v>135</v>
      </c>
    </row>
    <row r="177" spans="1:7" x14ac:dyDescent="0.2">
      <c r="A177" s="235"/>
      <c r="B177" s="242" t="s">
        <v>11</v>
      </c>
      <c r="C177" s="235">
        <v>20</v>
      </c>
      <c r="D177" s="237">
        <v>1.52</v>
      </c>
      <c r="E177" s="237">
        <v>0.16</v>
      </c>
      <c r="F177" s="237">
        <v>9.84</v>
      </c>
      <c r="G177" s="237">
        <v>49.17</v>
      </c>
    </row>
    <row r="178" spans="1:7" x14ac:dyDescent="0.2">
      <c r="A178" s="270" t="s">
        <v>252</v>
      </c>
      <c r="B178" s="271"/>
      <c r="C178" s="240">
        <f>SUM(C172:C177)</f>
        <v>745</v>
      </c>
      <c r="D178" s="241"/>
      <c r="E178" s="241"/>
      <c r="F178" s="241"/>
      <c r="G178" s="241"/>
    </row>
    <row r="179" spans="1:7" ht="22.5" customHeight="1" x14ac:dyDescent="0.2">
      <c r="A179" s="269" t="s">
        <v>266</v>
      </c>
      <c r="B179" s="269"/>
      <c r="C179" s="269"/>
      <c r="D179" s="232">
        <f>D180+D187</f>
        <v>54.61</v>
      </c>
      <c r="E179" s="232">
        <f t="shared" ref="E179:G179" si="15">E180+E187</f>
        <v>72.489999999999995</v>
      </c>
      <c r="F179" s="232">
        <f t="shared" si="15"/>
        <v>160.68</v>
      </c>
      <c r="G179" s="232">
        <f t="shared" si="15"/>
        <v>1550.3</v>
      </c>
    </row>
    <row r="180" spans="1:7" x14ac:dyDescent="0.2">
      <c r="A180" s="233"/>
      <c r="B180" s="269" t="s">
        <v>66</v>
      </c>
      <c r="C180" s="269"/>
      <c r="D180" s="232">
        <f>D181+D182+D183+D184+D185</f>
        <v>24.979999999999997</v>
      </c>
      <c r="E180" s="232">
        <f t="shared" ref="E180:G180" si="16">E181+E182+E183+E184+E185</f>
        <v>17.579999999999998</v>
      </c>
      <c r="F180" s="232">
        <f t="shared" si="16"/>
        <v>88.259999999999991</v>
      </c>
      <c r="G180" s="232">
        <f t="shared" si="16"/>
        <v>634.74</v>
      </c>
    </row>
    <row r="181" spans="1:7" x14ac:dyDescent="0.2">
      <c r="A181" s="238" t="s">
        <v>131</v>
      </c>
      <c r="B181" s="242" t="s">
        <v>146</v>
      </c>
      <c r="C181" s="235">
        <v>90</v>
      </c>
      <c r="D181" s="237">
        <v>11.84</v>
      </c>
      <c r="E181" s="237">
        <v>10.06</v>
      </c>
      <c r="F181" s="237">
        <v>16.03</v>
      </c>
      <c r="G181" s="237">
        <v>208</v>
      </c>
    </row>
    <row r="182" spans="1:7" x14ac:dyDescent="0.2">
      <c r="A182" s="238" t="s">
        <v>38</v>
      </c>
      <c r="B182" s="242" t="s">
        <v>36</v>
      </c>
      <c r="C182" s="235">
        <v>150</v>
      </c>
      <c r="D182" s="237">
        <v>8.77</v>
      </c>
      <c r="E182" s="237">
        <v>5.19</v>
      </c>
      <c r="F182" s="237">
        <v>39.630000000000003</v>
      </c>
      <c r="G182" s="237">
        <v>250</v>
      </c>
    </row>
    <row r="183" spans="1:7" x14ac:dyDescent="0.2">
      <c r="A183" s="239" t="s">
        <v>191</v>
      </c>
      <c r="B183" s="236" t="s">
        <v>171</v>
      </c>
      <c r="C183" s="235">
        <v>20</v>
      </c>
      <c r="D183" s="237">
        <v>0.18</v>
      </c>
      <c r="E183" s="237">
        <v>2.0099999999999998</v>
      </c>
      <c r="F183" s="237">
        <v>0.89</v>
      </c>
      <c r="G183" s="237">
        <v>23</v>
      </c>
    </row>
    <row r="184" spans="1:7" x14ac:dyDescent="0.2">
      <c r="A184" s="235" t="s">
        <v>42</v>
      </c>
      <c r="B184" s="236" t="s">
        <v>223</v>
      </c>
      <c r="C184" s="235">
        <v>200</v>
      </c>
      <c r="D184" s="237">
        <v>1.1499999999999999</v>
      </c>
      <c r="E184" s="237"/>
      <c r="F184" s="237">
        <v>12.03</v>
      </c>
      <c r="G184" s="237">
        <v>55.4</v>
      </c>
    </row>
    <row r="185" spans="1:7" x14ac:dyDescent="0.2">
      <c r="A185" s="235"/>
      <c r="B185" s="236" t="s">
        <v>11</v>
      </c>
      <c r="C185" s="235">
        <v>40</v>
      </c>
      <c r="D185" s="237">
        <v>3.04</v>
      </c>
      <c r="E185" s="237">
        <v>0.32</v>
      </c>
      <c r="F185" s="237">
        <v>19.68</v>
      </c>
      <c r="G185" s="237">
        <v>98.34</v>
      </c>
    </row>
    <row r="186" spans="1:7" x14ac:dyDescent="0.2">
      <c r="A186" s="270" t="s">
        <v>252</v>
      </c>
      <c r="B186" s="271"/>
      <c r="C186" s="233">
        <f>SUM(C181:C185)</f>
        <v>500</v>
      </c>
      <c r="D186" s="237"/>
      <c r="E186" s="237"/>
      <c r="F186" s="237"/>
      <c r="G186" s="237"/>
    </row>
    <row r="187" spans="1:7" x14ac:dyDescent="0.2">
      <c r="A187" s="235"/>
      <c r="B187" s="285" t="s">
        <v>67</v>
      </c>
      <c r="C187" s="285"/>
      <c r="D187" s="232">
        <f>D188+D189+D190+D191+D192+D193</f>
        <v>29.63</v>
      </c>
      <c r="E187" s="232">
        <f t="shared" ref="E187:G187" si="17">E188+E189+E190+E191+E192+E193</f>
        <v>54.91</v>
      </c>
      <c r="F187" s="232">
        <f t="shared" si="17"/>
        <v>72.42</v>
      </c>
      <c r="G187" s="232">
        <f t="shared" si="17"/>
        <v>915.56</v>
      </c>
    </row>
    <row r="188" spans="1:7" x14ac:dyDescent="0.2">
      <c r="A188" s="235" t="s">
        <v>292</v>
      </c>
      <c r="B188" s="236" t="s">
        <v>291</v>
      </c>
      <c r="C188" s="235">
        <v>60</v>
      </c>
      <c r="D188" s="251">
        <v>0.48</v>
      </c>
      <c r="E188" s="237">
        <v>0</v>
      </c>
      <c r="F188" s="237">
        <v>1.02</v>
      </c>
      <c r="G188" s="237">
        <v>6</v>
      </c>
    </row>
    <row r="189" spans="1:7" ht="25.5" x14ac:dyDescent="0.2">
      <c r="A189" s="235" t="s">
        <v>296</v>
      </c>
      <c r="B189" s="242" t="s">
        <v>297</v>
      </c>
      <c r="C189" s="235">
        <v>210</v>
      </c>
      <c r="D189" s="237">
        <v>13</v>
      </c>
      <c r="E189" s="237">
        <v>18</v>
      </c>
      <c r="F189" s="237">
        <v>12.27</v>
      </c>
      <c r="G189" s="237">
        <v>263.08</v>
      </c>
    </row>
    <row r="190" spans="1:7" x14ac:dyDescent="0.2">
      <c r="A190" s="238" t="s">
        <v>43</v>
      </c>
      <c r="B190" s="236" t="s">
        <v>298</v>
      </c>
      <c r="C190" s="235">
        <v>100</v>
      </c>
      <c r="D190" s="237">
        <v>8.99</v>
      </c>
      <c r="E190" s="237">
        <v>33.909999999999997</v>
      </c>
      <c r="F190" s="237">
        <v>3.29</v>
      </c>
      <c r="G190" s="237">
        <v>354.31</v>
      </c>
    </row>
    <row r="191" spans="1:7" x14ac:dyDescent="0.2">
      <c r="A191" s="235" t="s">
        <v>33</v>
      </c>
      <c r="B191" s="236" t="s">
        <v>12</v>
      </c>
      <c r="C191" s="235">
        <v>150</v>
      </c>
      <c r="D191" s="237">
        <v>5.64</v>
      </c>
      <c r="E191" s="237">
        <v>2.84</v>
      </c>
      <c r="F191" s="237">
        <v>36</v>
      </c>
      <c r="G191" s="237">
        <v>201</v>
      </c>
    </row>
    <row r="192" spans="1:7" x14ac:dyDescent="0.2">
      <c r="A192" s="238" t="s">
        <v>182</v>
      </c>
      <c r="B192" s="236" t="s">
        <v>10</v>
      </c>
      <c r="C192" s="239">
        <v>200</v>
      </c>
      <c r="D192" s="237">
        <v>0</v>
      </c>
      <c r="E192" s="237">
        <v>0</v>
      </c>
      <c r="F192" s="237">
        <v>10</v>
      </c>
      <c r="G192" s="237">
        <v>42</v>
      </c>
    </row>
    <row r="193" spans="1:7" x14ac:dyDescent="0.2">
      <c r="A193" s="235"/>
      <c r="B193" s="236" t="s">
        <v>11</v>
      </c>
      <c r="C193" s="235">
        <v>20</v>
      </c>
      <c r="D193" s="237">
        <v>1.52</v>
      </c>
      <c r="E193" s="237">
        <v>0.16</v>
      </c>
      <c r="F193" s="237">
        <v>9.84</v>
      </c>
      <c r="G193" s="237">
        <v>49.17</v>
      </c>
    </row>
    <row r="194" spans="1:7" x14ac:dyDescent="0.2">
      <c r="A194" s="286" t="s">
        <v>252</v>
      </c>
      <c r="B194" s="286"/>
      <c r="C194" s="233">
        <f>SUM(C188:C193)</f>
        <v>740</v>
      </c>
      <c r="D194" s="237"/>
      <c r="E194" s="237"/>
      <c r="F194" s="237"/>
      <c r="G194" s="237"/>
    </row>
    <row r="195" spans="1:7" ht="23.25" customHeight="1" x14ac:dyDescent="0.2">
      <c r="A195" s="269" t="s">
        <v>267</v>
      </c>
      <c r="B195" s="269"/>
      <c r="C195" s="269"/>
      <c r="D195" s="232">
        <f>D196+D203</f>
        <v>44.58</v>
      </c>
      <c r="E195" s="232">
        <f t="shared" ref="E195:G195" si="18">E196+E203</f>
        <v>61.43</v>
      </c>
      <c r="F195" s="232">
        <f t="shared" si="18"/>
        <v>138.93</v>
      </c>
      <c r="G195" s="232">
        <f t="shared" si="18"/>
        <v>1311.5700000000002</v>
      </c>
    </row>
    <row r="196" spans="1:7" x14ac:dyDescent="0.2">
      <c r="A196" s="233"/>
      <c r="B196" s="269" t="s">
        <v>66</v>
      </c>
      <c r="C196" s="269"/>
      <c r="D196" s="232">
        <f>D197+D198+D199+D200+D201</f>
        <v>19.12</v>
      </c>
      <c r="E196" s="232">
        <f t="shared" ref="E196:G196" si="19">E197+E198+E199+E200+E201</f>
        <v>26.980000000000004</v>
      </c>
      <c r="F196" s="232">
        <f t="shared" si="19"/>
        <v>63.43</v>
      </c>
      <c r="G196" s="232">
        <f t="shared" si="19"/>
        <v>585.66000000000008</v>
      </c>
    </row>
    <row r="197" spans="1:7" x14ac:dyDescent="0.2">
      <c r="A197" s="238"/>
      <c r="B197" s="236" t="s">
        <v>41</v>
      </c>
      <c r="C197" s="235">
        <v>100</v>
      </c>
      <c r="D197" s="237">
        <v>0.4</v>
      </c>
      <c r="E197" s="237">
        <v>0</v>
      </c>
      <c r="F197" s="237">
        <v>9.8000000000000007</v>
      </c>
      <c r="G197" s="237">
        <v>42.84</v>
      </c>
    </row>
    <row r="198" spans="1:7" x14ac:dyDescent="0.2">
      <c r="A198" s="235" t="s">
        <v>269</v>
      </c>
      <c r="B198" s="236" t="s">
        <v>268</v>
      </c>
      <c r="C198" s="235">
        <v>150</v>
      </c>
      <c r="D198" s="237">
        <v>14.58</v>
      </c>
      <c r="E198" s="237">
        <v>19.3</v>
      </c>
      <c r="F198" s="237">
        <v>2.81</v>
      </c>
      <c r="G198" s="237">
        <v>243.26</v>
      </c>
    </row>
    <row r="199" spans="1:7" ht="25.5" x14ac:dyDescent="0.2">
      <c r="A199" s="235" t="s">
        <v>42</v>
      </c>
      <c r="B199" s="236" t="s">
        <v>224</v>
      </c>
      <c r="C199" s="235">
        <v>200</v>
      </c>
      <c r="D199" s="237">
        <v>1</v>
      </c>
      <c r="E199" s="237">
        <v>0.1</v>
      </c>
      <c r="F199" s="237">
        <v>31</v>
      </c>
      <c r="G199" s="237">
        <v>135</v>
      </c>
    </row>
    <row r="200" spans="1:7" x14ac:dyDescent="0.2">
      <c r="A200" s="235" t="s">
        <v>179</v>
      </c>
      <c r="B200" s="236" t="s">
        <v>136</v>
      </c>
      <c r="C200" s="235">
        <v>10</v>
      </c>
      <c r="D200" s="237">
        <v>0.1</v>
      </c>
      <c r="E200" s="237">
        <v>7.26</v>
      </c>
      <c r="F200" s="237">
        <v>0.14000000000000001</v>
      </c>
      <c r="G200" s="237">
        <v>66.22</v>
      </c>
    </row>
    <row r="201" spans="1:7" x14ac:dyDescent="0.2">
      <c r="A201" s="238"/>
      <c r="B201" s="236" t="s">
        <v>11</v>
      </c>
      <c r="C201" s="235">
        <v>40</v>
      </c>
      <c r="D201" s="237">
        <v>3.04</v>
      </c>
      <c r="E201" s="237">
        <v>0.32</v>
      </c>
      <c r="F201" s="237">
        <v>19.68</v>
      </c>
      <c r="G201" s="237">
        <v>98.34</v>
      </c>
    </row>
    <row r="202" spans="1:7" x14ac:dyDescent="0.2">
      <c r="A202" s="270" t="s">
        <v>252</v>
      </c>
      <c r="B202" s="271"/>
      <c r="C202" s="233">
        <f>C197+C198+C199+C200+C201</f>
        <v>500</v>
      </c>
      <c r="D202" s="237"/>
      <c r="E202" s="237"/>
      <c r="F202" s="237"/>
      <c r="G202" s="237"/>
    </row>
    <row r="203" spans="1:7" x14ac:dyDescent="0.2">
      <c r="A203" s="235"/>
      <c r="B203" s="285" t="s">
        <v>67</v>
      </c>
      <c r="C203" s="285"/>
      <c r="D203" s="232">
        <f>D204+D205+D206+D207+D208</f>
        <v>25.46</v>
      </c>
      <c r="E203" s="232">
        <f t="shared" ref="E203:G203" si="20">E204+E205+E206+E207+E208</f>
        <v>34.449999999999996</v>
      </c>
      <c r="F203" s="232">
        <f t="shared" si="20"/>
        <v>75.5</v>
      </c>
      <c r="G203" s="232">
        <f t="shared" si="20"/>
        <v>725.91</v>
      </c>
    </row>
    <row r="204" spans="1:7" x14ac:dyDescent="0.2">
      <c r="A204" s="235" t="s">
        <v>192</v>
      </c>
      <c r="B204" s="236" t="s">
        <v>137</v>
      </c>
      <c r="C204" s="244">
        <v>60</v>
      </c>
      <c r="D204" s="237">
        <v>0.94</v>
      </c>
      <c r="E204" s="237">
        <v>3.06</v>
      </c>
      <c r="F204" s="237">
        <v>5.66</v>
      </c>
      <c r="G204" s="237">
        <v>55.26</v>
      </c>
    </row>
    <row r="205" spans="1:7" ht="25.5" x14ac:dyDescent="0.2">
      <c r="A205" s="235" t="s">
        <v>185</v>
      </c>
      <c r="B205" s="236" t="s">
        <v>141</v>
      </c>
      <c r="C205" s="235">
        <v>205</v>
      </c>
      <c r="D205" s="237">
        <v>2.57</v>
      </c>
      <c r="E205" s="237">
        <v>9.24</v>
      </c>
      <c r="F205" s="237">
        <v>18.04</v>
      </c>
      <c r="G205" s="237">
        <v>169.72</v>
      </c>
    </row>
    <row r="206" spans="1:7" x14ac:dyDescent="0.2">
      <c r="A206" s="235" t="s">
        <v>294</v>
      </c>
      <c r="B206" s="242" t="s">
        <v>293</v>
      </c>
      <c r="C206" s="235">
        <v>200</v>
      </c>
      <c r="D206" s="237">
        <v>18.91</v>
      </c>
      <c r="E206" s="237">
        <v>21.83</v>
      </c>
      <c r="F206" s="237">
        <v>22.12</v>
      </c>
      <c r="G206" s="237">
        <v>360.59</v>
      </c>
    </row>
    <row r="207" spans="1:7" x14ac:dyDescent="0.2">
      <c r="A207" s="238" t="s">
        <v>182</v>
      </c>
      <c r="B207" s="236" t="s">
        <v>10</v>
      </c>
      <c r="C207" s="235">
        <v>200</v>
      </c>
      <c r="D207" s="237">
        <v>0</v>
      </c>
      <c r="E207" s="237">
        <v>0</v>
      </c>
      <c r="F207" s="237">
        <v>10</v>
      </c>
      <c r="G207" s="237">
        <v>42</v>
      </c>
    </row>
    <row r="208" spans="1:7" x14ac:dyDescent="0.2">
      <c r="A208" s="238"/>
      <c r="B208" s="236" t="s">
        <v>11</v>
      </c>
      <c r="C208" s="235">
        <v>40</v>
      </c>
      <c r="D208" s="237">
        <v>3.04</v>
      </c>
      <c r="E208" s="237">
        <v>0.32</v>
      </c>
      <c r="F208" s="237">
        <v>19.68</v>
      </c>
      <c r="G208" s="237">
        <v>98.34</v>
      </c>
    </row>
    <row r="209" spans="1:7" x14ac:dyDescent="0.2">
      <c r="A209" s="286" t="s">
        <v>252</v>
      </c>
      <c r="B209" s="286"/>
      <c r="C209" s="233">
        <f>SUM(C204:C208)</f>
        <v>705</v>
      </c>
      <c r="D209" s="237"/>
      <c r="E209" s="237"/>
      <c r="F209" s="237"/>
      <c r="G209" s="237"/>
    </row>
    <row r="210" spans="1:7" ht="24.75" customHeight="1" x14ac:dyDescent="0.2">
      <c r="A210" s="269" t="s">
        <v>278</v>
      </c>
      <c r="B210" s="269"/>
      <c r="C210" s="269"/>
      <c r="D210" s="232">
        <f>D211+D217</f>
        <v>40.519999999999996</v>
      </c>
      <c r="E210" s="232">
        <f t="shared" ref="E210:G210" si="21">E211+E217</f>
        <v>35.729999999999997</v>
      </c>
      <c r="F210" s="232">
        <f t="shared" si="21"/>
        <v>166.36</v>
      </c>
      <c r="G210" s="232">
        <f t="shared" si="21"/>
        <v>1174.26</v>
      </c>
    </row>
    <row r="211" spans="1:7" x14ac:dyDescent="0.2">
      <c r="A211" s="233"/>
      <c r="B211" s="269" t="s">
        <v>66</v>
      </c>
      <c r="C211" s="269"/>
      <c r="D211" s="232">
        <f>D212+D213+D214+D215</f>
        <v>19.84</v>
      </c>
      <c r="E211" s="232">
        <f t="shared" ref="E211:G211" si="22">E212+E213+E214+E215</f>
        <v>16.079999999999998</v>
      </c>
      <c r="F211" s="232">
        <f t="shared" si="22"/>
        <v>89.4</v>
      </c>
      <c r="G211" s="232">
        <f t="shared" si="22"/>
        <v>596.24</v>
      </c>
    </row>
    <row r="212" spans="1:7" x14ac:dyDescent="0.2">
      <c r="A212" s="238" t="s">
        <v>271</v>
      </c>
      <c r="B212" s="236" t="s">
        <v>270</v>
      </c>
      <c r="C212" s="235">
        <v>105</v>
      </c>
      <c r="D212" s="237">
        <v>10.25</v>
      </c>
      <c r="E212" s="237">
        <v>12.84</v>
      </c>
      <c r="F212" s="237">
        <v>3.3</v>
      </c>
      <c r="G212" s="237">
        <v>169.76</v>
      </c>
    </row>
    <row r="213" spans="1:7" x14ac:dyDescent="0.2">
      <c r="A213" s="235" t="s">
        <v>33</v>
      </c>
      <c r="B213" s="236" t="s">
        <v>12</v>
      </c>
      <c r="C213" s="235">
        <v>150</v>
      </c>
      <c r="D213" s="237">
        <v>5.64</v>
      </c>
      <c r="E213" s="237">
        <v>2.84</v>
      </c>
      <c r="F213" s="237">
        <v>36</v>
      </c>
      <c r="G213" s="237">
        <v>201</v>
      </c>
    </row>
    <row r="214" spans="1:7" x14ac:dyDescent="0.2">
      <c r="A214" s="238" t="s">
        <v>273</v>
      </c>
      <c r="B214" s="243" t="s">
        <v>272</v>
      </c>
      <c r="C214" s="235">
        <v>200</v>
      </c>
      <c r="D214" s="237">
        <v>0.15</v>
      </c>
      <c r="E214" s="237">
        <v>0</v>
      </c>
      <c r="F214" s="237">
        <v>25.5</v>
      </c>
      <c r="G214" s="237">
        <v>102.58</v>
      </c>
    </row>
    <row r="215" spans="1:7" x14ac:dyDescent="0.2">
      <c r="A215" s="235"/>
      <c r="B215" s="236" t="s">
        <v>11</v>
      </c>
      <c r="C215" s="235">
        <v>50</v>
      </c>
      <c r="D215" s="237">
        <v>3.8</v>
      </c>
      <c r="E215" s="237">
        <v>0.4</v>
      </c>
      <c r="F215" s="237">
        <v>24.6</v>
      </c>
      <c r="G215" s="237">
        <v>122.9</v>
      </c>
    </row>
    <row r="216" spans="1:7" x14ac:dyDescent="0.2">
      <c r="A216" s="270" t="s">
        <v>252</v>
      </c>
      <c r="B216" s="271"/>
      <c r="C216" s="233">
        <f>C215+C214+C213+C212</f>
        <v>505</v>
      </c>
      <c r="D216" s="237"/>
      <c r="E216" s="237"/>
      <c r="F216" s="237"/>
      <c r="G216" s="237"/>
    </row>
    <row r="217" spans="1:7" x14ac:dyDescent="0.2">
      <c r="A217" s="235"/>
      <c r="B217" s="285" t="s">
        <v>67</v>
      </c>
      <c r="C217" s="285"/>
      <c r="D217" s="232">
        <f>D218+D219+D220+D221+D222+D223</f>
        <v>20.68</v>
      </c>
      <c r="E217" s="232">
        <f t="shared" ref="E217:G217" si="23">E218+E219+E220+E221+E222+E223</f>
        <v>19.649999999999999</v>
      </c>
      <c r="F217" s="232">
        <f t="shared" si="23"/>
        <v>76.960000000000008</v>
      </c>
      <c r="G217" s="232">
        <f t="shared" si="23"/>
        <v>578.02</v>
      </c>
    </row>
    <row r="218" spans="1:7" x14ac:dyDescent="0.2">
      <c r="A218" s="235" t="s">
        <v>142</v>
      </c>
      <c r="B218" s="236" t="s">
        <v>143</v>
      </c>
      <c r="C218" s="235">
        <v>60</v>
      </c>
      <c r="D218" s="237">
        <v>0.9</v>
      </c>
      <c r="E218" s="237">
        <v>0.06</v>
      </c>
      <c r="F218" s="237">
        <v>5.28</v>
      </c>
      <c r="G218" s="237">
        <v>27</v>
      </c>
    </row>
    <row r="219" spans="1:7" x14ac:dyDescent="0.2">
      <c r="A219" s="235" t="s">
        <v>184</v>
      </c>
      <c r="B219" s="236" t="s">
        <v>138</v>
      </c>
      <c r="C219" s="235">
        <v>205</v>
      </c>
      <c r="D219" s="237">
        <v>3.09</v>
      </c>
      <c r="E219" s="237">
        <v>4.6100000000000003</v>
      </c>
      <c r="F219" s="237">
        <v>12.54</v>
      </c>
      <c r="G219" s="237">
        <v>107.36</v>
      </c>
    </row>
    <row r="220" spans="1:7" x14ac:dyDescent="0.2">
      <c r="A220" s="235" t="s">
        <v>277</v>
      </c>
      <c r="B220" s="236" t="s">
        <v>276</v>
      </c>
      <c r="C220" s="235">
        <v>90</v>
      </c>
      <c r="D220" s="237">
        <v>10.18</v>
      </c>
      <c r="E220" s="237">
        <v>9.74</v>
      </c>
      <c r="F220" s="237">
        <v>10.17</v>
      </c>
      <c r="G220" s="237">
        <v>169.06</v>
      </c>
    </row>
    <row r="221" spans="1:7" x14ac:dyDescent="0.2">
      <c r="A221" s="235" t="s">
        <v>300</v>
      </c>
      <c r="B221" s="236" t="s">
        <v>299</v>
      </c>
      <c r="C221" s="235">
        <v>150</v>
      </c>
      <c r="D221" s="237">
        <v>4.2300000000000004</v>
      </c>
      <c r="E221" s="237">
        <v>5</v>
      </c>
      <c r="F221" s="237">
        <v>24.21</v>
      </c>
      <c r="G221" s="237">
        <v>158.80000000000001</v>
      </c>
    </row>
    <row r="222" spans="1:7" x14ac:dyDescent="0.2">
      <c r="A222" s="238" t="s">
        <v>182</v>
      </c>
      <c r="B222" s="236" t="s">
        <v>10</v>
      </c>
      <c r="C222" s="235">
        <v>200</v>
      </c>
      <c r="D222" s="237">
        <v>0</v>
      </c>
      <c r="E222" s="237">
        <v>0</v>
      </c>
      <c r="F222" s="237">
        <v>10</v>
      </c>
      <c r="G222" s="237">
        <v>42</v>
      </c>
    </row>
    <row r="223" spans="1:7" x14ac:dyDescent="0.2">
      <c r="A223" s="238"/>
      <c r="B223" s="243" t="s">
        <v>11</v>
      </c>
      <c r="C223" s="238">
        <v>30</v>
      </c>
      <c r="D223" s="241">
        <v>2.2799999999999998</v>
      </c>
      <c r="E223" s="241">
        <v>0.24</v>
      </c>
      <c r="F223" s="241">
        <v>14.76</v>
      </c>
      <c r="G223" s="241">
        <v>73.8</v>
      </c>
    </row>
    <row r="224" spans="1:7" x14ac:dyDescent="0.2">
      <c r="A224" s="286" t="s">
        <v>252</v>
      </c>
      <c r="B224" s="286"/>
      <c r="C224" s="233">
        <f>SUM(C218:C223)</f>
        <v>735</v>
      </c>
      <c r="D224" s="237"/>
      <c r="E224" s="237"/>
      <c r="F224" s="237"/>
      <c r="G224" s="237"/>
    </row>
    <row r="225" spans="1:7" ht="23.25" customHeight="1" x14ac:dyDescent="0.2">
      <c r="A225" s="269" t="s">
        <v>279</v>
      </c>
      <c r="B225" s="269"/>
      <c r="C225" s="269"/>
      <c r="D225" s="232">
        <f>D226+D232</f>
        <v>44</v>
      </c>
      <c r="E225" s="232">
        <f t="shared" ref="E225:G225" si="24">E226+E232</f>
        <v>55.879999999999995</v>
      </c>
      <c r="F225" s="232">
        <f t="shared" si="24"/>
        <v>148.76999999999998</v>
      </c>
      <c r="G225" s="232">
        <f t="shared" si="24"/>
        <v>1316.1859999999999</v>
      </c>
    </row>
    <row r="226" spans="1:7" x14ac:dyDescent="0.2">
      <c r="A226" s="233"/>
      <c r="B226" s="269" t="s">
        <v>66</v>
      </c>
      <c r="C226" s="269"/>
      <c r="D226" s="232">
        <f>D227+D228+D229+D230</f>
        <v>15.45</v>
      </c>
      <c r="E226" s="232">
        <f t="shared" ref="E226:G226" si="25">E227+E228+E229+E230</f>
        <v>23.09</v>
      </c>
      <c r="F226" s="232">
        <f t="shared" si="25"/>
        <v>62.269999999999996</v>
      </c>
      <c r="G226" s="232">
        <f t="shared" si="25"/>
        <v>534.32000000000005</v>
      </c>
    </row>
    <row r="227" spans="1:7" x14ac:dyDescent="0.2">
      <c r="A227" s="238" t="s">
        <v>162</v>
      </c>
      <c r="B227" s="236" t="s">
        <v>163</v>
      </c>
      <c r="C227" s="244">
        <v>110</v>
      </c>
      <c r="D227" s="237">
        <v>9.15</v>
      </c>
      <c r="E227" s="237">
        <v>14.97</v>
      </c>
      <c r="F227" s="237">
        <v>10.6</v>
      </c>
      <c r="G227" s="237">
        <v>217.68</v>
      </c>
    </row>
    <row r="228" spans="1:7" x14ac:dyDescent="0.2">
      <c r="A228" s="235" t="s">
        <v>34</v>
      </c>
      <c r="B228" s="236" t="s">
        <v>32</v>
      </c>
      <c r="C228" s="235">
        <v>150</v>
      </c>
      <c r="D228" s="237">
        <v>3.26</v>
      </c>
      <c r="E228" s="237">
        <v>7.8</v>
      </c>
      <c r="F228" s="237">
        <v>21.99</v>
      </c>
      <c r="G228" s="237">
        <v>176.3</v>
      </c>
    </row>
    <row r="229" spans="1:7" x14ac:dyDescent="0.2">
      <c r="A229" s="239" t="s">
        <v>182</v>
      </c>
      <c r="B229" s="236" t="s">
        <v>10</v>
      </c>
      <c r="C229" s="239">
        <v>200</v>
      </c>
      <c r="D229" s="237">
        <v>0</v>
      </c>
      <c r="E229" s="237">
        <v>0</v>
      </c>
      <c r="F229" s="237">
        <v>10</v>
      </c>
      <c r="G229" s="237">
        <v>42</v>
      </c>
    </row>
    <row r="230" spans="1:7" x14ac:dyDescent="0.2">
      <c r="A230" s="238"/>
      <c r="B230" s="236" t="s">
        <v>11</v>
      </c>
      <c r="C230" s="235">
        <v>40</v>
      </c>
      <c r="D230" s="237">
        <v>3.04</v>
      </c>
      <c r="E230" s="237">
        <v>0.32</v>
      </c>
      <c r="F230" s="237">
        <v>19.68</v>
      </c>
      <c r="G230" s="237">
        <v>98.34</v>
      </c>
    </row>
    <row r="231" spans="1:7" x14ac:dyDescent="0.2">
      <c r="A231" s="270" t="s">
        <v>252</v>
      </c>
      <c r="B231" s="271"/>
      <c r="C231" s="233">
        <f>SUM(C227:C230)</f>
        <v>500</v>
      </c>
      <c r="D231" s="237"/>
      <c r="E231" s="237"/>
      <c r="F231" s="237"/>
      <c r="G231" s="237"/>
    </row>
    <row r="232" spans="1:7" x14ac:dyDescent="0.2">
      <c r="A232" s="235"/>
      <c r="B232" s="285" t="s">
        <v>67</v>
      </c>
      <c r="C232" s="285"/>
      <c r="D232" s="232">
        <f>D233+D234+D235+D236+D237</f>
        <v>28.55</v>
      </c>
      <c r="E232" s="232">
        <f t="shared" ref="E232:G232" si="26">E233+E234+E235+E236+E237</f>
        <v>32.79</v>
      </c>
      <c r="F232" s="232">
        <f t="shared" si="26"/>
        <v>86.5</v>
      </c>
      <c r="G232" s="232">
        <f t="shared" si="26"/>
        <v>781.86599999999987</v>
      </c>
    </row>
    <row r="233" spans="1:7" x14ac:dyDescent="0.2">
      <c r="A233" s="235" t="s">
        <v>190</v>
      </c>
      <c r="B233" s="236" t="s">
        <v>152</v>
      </c>
      <c r="C233" s="235">
        <v>60</v>
      </c>
      <c r="D233" s="237">
        <v>0.88</v>
      </c>
      <c r="E233" s="237">
        <v>3.11</v>
      </c>
      <c r="F233" s="237">
        <v>5.64</v>
      </c>
      <c r="G233" s="237">
        <v>55.8</v>
      </c>
    </row>
    <row r="234" spans="1:7" ht="25.5" x14ac:dyDescent="0.2">
      <c r="A234" s="235" t="s">
        <v>186</v>
      </c>
      <c r="B234" s="236" t="s">
        <v>149</v>
      </c>
      <c r="C234" s="235">
        <v>210</v>
      </c>
      <c r="D234" s="237">
        <v>6.51</v>
      </c>
      <c r="E234" s="237">
        <v>12.28</v>
      </c>
      <c r="F234" s="237">
        <v>11.17</v>
      </c>
      <c r="G234" s="237">
        <v>187.77600000000001</v>
      </c>
    </row>
    <row r="235" spans="1:7" x14ac:dyDescent="0.2">
      <c r="A235" s="238" t="s">
        <v>188</v>
      </c>
      <c r="B235" s="236" t="s">
        <v>139</v>
      </c>
      <c r="C235" s="235">
        <v>200</v>
      </c>
      <c r="D235" s="237">
        <v>17.73</v>
      </c>
      <c r="E235" s="237">
        <v>17.16</v>
      </c>
      <c r="F235" s="237">
        <v>42.9</v>
      </c>
      <c r="G235" s="237">
        <v>409.09</v>
      </c>
    </row>
    <row r="236" spans="1:7" x14ac:dyDescent="0.2">
      <c r="A236" s="235" t="s">
        <v>42</v>
      </c>
      <c r="B236" s="236" t="s">
        <v>223</v>
      </c>
      <c r="C236" s="235">
        <v>200</v>
      </c>
      <c r="D236" s="237">
        <v>1.1499999999999999</v>
      </c>
      <c r="E236" s="237"/>
      <c r="F236" s="237">
        <v>12.03</v>
      </c>
      <c r="G236" s="237">
        <v>55.4</v>
      </c>
    </row>
    <row r="237" spans="1:7" x14ac:dyDescent="0.2">
      <c r="A237" s="238"/>
      <c r="B237" s="243" t="s">
        <v>11</v>
      </c>
      <c r="C237" s="238">
        <v>30</v>
      </c>
      <c r="D237" s="241">
        <v>2.2799999999999998</v>
      </c>
      <c r="E237" s="241">
        <v>0.24</v>
      </c>
      <c r="F237" s="241">
        <v>14.76</v>
      </c>
      <c r="G237" s="241">
        <v>73.8</v>
      </c>
    </row>
    <row r="238" spans="1:7" x14ac:dyDescent="0.2">
      <c r="A238" s="286" t="s">
        <v>252</v>
      </c>
      <c r="B238" s="286"/>
      <c r="C238" s="233">
        <f>SUM(C233:C237)</f>
        <v>700</v>
      </c>
      <c r="D238" s="237"/>
      <c r="E238" s="237"/>
      <c r="F238" s="237"/>
      <c r="G238" s="237"/>
    </row>
    <row r="239" spans="1:7" ht="27.75" customHeight="1" x14ac:dyDescent="0.2">
      <c r="A239" s="269" t="s">
        <v>280</v>
      </c>
      <c r="B239" s="269"/>
      <c r="C239" s="269"/>
      <c r="D239" s="232">
        <f>D240+D246</f>
        <v>33.53</v>
      </c>
      <c r="E239" s="232">
        <f t="shared" ref="E239:G239" si="27">E240+E246</f>
        <v>36.340000000000003</v>
      </c>
      <c r="F239" s="232">
        <f t="shared" si="27"/>
        <v>203.69000000000003</v>
      </c>
      <c r="G239" s="232">
        <f t="shared" si="27"/>
        <v>1324.1599999999999</v>
      </c>
    </row>
    <row r="240" spans="1:7" x14ac:dyDescent="0.2">
      <c r="A240" s="233"/>
      <c r="B240" s="269" t="s">
        <v>66</v>
      </c>
      <c r="C240" s="269"/>
      <c r="D240" s="232">
        <f>D241+D242+D243+D244</f>
        <v>12.59</v>
      </c>
      <c r="E240" s="232">
        <f t="shared" ref="E240:G240" si="28">E241+E242+E243+E244</f>
        <v>6.6800000000000006</v>
      </c>
      <c r="F240" s="232">
        <f t="shared" si="28"/>
        <v>88.600000000000023</v>
      </c>
      <c r="G240" s="232">
        <f t="shared" si="28"/>
        <v>486.17000000000007</v>
      </c>
    </row>
    <row r="241" spans="1:7" x14ac:dyDescent="0.2">
      <c r="A241" s="238"/>
      <c r="B241" s="236" t="s">
        <v>41</v>
      </c>
      <c r="C241" s="235">
        <v>100</v>
      </c>
      <c r="D241" s="237">
        <v>0.4</v>
      </c>
      <c r="E241" s="237">
        <v>0</v>
      </c>
      <c r="F241" s="237">
        <v>9.8000000000000007</v>
      </c>
      <c r="G241" s="237">
        <v>42.84</v>
      </c>
    </row>
    <row r="242" spans="1:7" ht="25.5" x14ac:dyDescent="0.2">
      <c r="A242" s="235" t="s">
        <v>180</v>
      </c>
      <c r="B242" s="236" t="s">
        <v>209</v>
      </c>
      <c r="C242" s="235">
        <v>203</v>
      </c>
      <c r="D242" s="237">
        <v>7.16</v>
      </c>
      <c r="E242" s="237">
        <v>4.66</v>
      </c>
      <c r="F242" s="237">
        <v>40.520000000000003</v>
      </c>
      <c r="G242" s="237">
        <v>242.96</v>
      </c>
    </row>
    <row r="243" spans="1:7" x14ac:dyDescent="0.2">
      <c r="A243" s="235" t="s">
        <v>183</v>
      </c>
      <c r="B243" s="236" t="s">
        <v>51</v>
      </c>
      <c r="C243" s="235">
        <v>200</v>
      </c>
      <c r="D243" s="237">
        <v>1.99</v>
      </c>
      <c r="E243" s="237">
        <v>1.7</v>
      </c>
      <c r="F243" s="237">
        <v>18.600000000000001</v>
      </c>
      <c r="G243" s="237">
        <v>102.03</v>
      </c>
    </row>
    <row r="244" spans="1:7" x14ac:dyDescent="0.2">
      <c r="A244" s="239"/>
      <c r="B244" s="236" t="s">
        <v>11</v>
      </c>
      <c r="C244" s="235">
        <v>40</v>
      </c>
      <c r="D244" s="237">
        <v>3.04</v>
      </c>
      <c r="E244" s="237">
        <v>0.32</v>
      </c>
      <c r="F244" s="237">
        <v>19.68</v>
      </c>
      <c r="G244" s="237">
        <v>98.34</v>
      </c>
    </row>
    <row r="245" spans="1:7" x14ac:dyDescent="0.2">
      <c r="A245" s="270" t="s">
        <v>252</v>
      </c>
      <c r="B245" s="271"/>
      <c r="C245" s="240">
        <f>C244+C243+C242+C241</f>
        <v>543</v>
      </c>
      <c r="D245" s="241"/>
      <c r="E245" s="241"/>
      <c r="F245" s="241"/>
      <c r="G245" s="241"/>
    </row>
    <row r="246" spans="1:7" x14ac:dyDescent="0.2">
      <c r="A246" s="238"/>
      <c r="B246" s="285" t="s">
        <v>67</v>
      </c>
      <c r="C246" s="285"/>
      <c r="D246" s="248">
        <f>D247+D248+D249+D250+D251+D252</f>
        <v>20.939999999999998</v>
      </c>
      <c r="E246" s="248">
        <f t="shared" ref="E246:G246" si="29">E247+E248+E249+E250+E251+E252</f>
        <v>29.660000000000004</v>
      </c>
      <c r="F246" s="248">
        <f t="shared" si="29"/>
        <v>115.09</v>
      </c>
      <c r="G246" s="248">
        <f t="shared" si="29"/>
        <v>837.9899999999999</v>
      </c>
    </row>
    <row r="247" spans="1:7" x14ac:dyDescent="0.2">
      <c r="A247" s="235" t="s">
        <v>192</v>
      </c>
      <c r="B247" s="242" t="s">
        <v>137</v>
      </c>
      <c r="C247" s="254">
        <v>60</v>
      </c>
      <c r="D247" s="237">
        <v>0.94</v>
      </c>
      <c r="E247" s="237">
        <v>3.06</v>
      </c>
      <c r="F247" s="237">
        <v>5.66</v>
      </c>
      <c r="G247" s="237">
        <v>55.26</v>
      </c>
    </row>
    <row r="248" spans="1:7" ht="25.5" x14ac:dyDescent="0.2">
      <c r="A248" s="235" t="s">
        <v>185</v>
      </c>
      <c r="B248" s="236" t="s">
        <v>141</v>
      </c>
      <c r="C248" s="235">
        <v>205</v>
      </c>
      <c r="D248" s="237">
        <v>2.57</v>
      </c>
      <c r="E248" s="237">
        <v>9.24</v>
      </c>
      <c r="F248" s="237">
        <v>18.04</v>
      </c>
      <c r="G248" s="237">
        <v>169.72</v>
      </c>
    </row>
    <row r="249" spans="1:7" x14ac:dyDescent="0.2">
      <c r="A249" s="235" t="s">
        <v>228</v>
      </c>
      <c r="B249" s="236" t="s">
        <v>151</v>
      </c>
      <c r="C249" s="235">
        <v>105</v>
      </c>
      <c r="D249" s="237">
        <v>6.14</v>
      </c>
      <c r="E249" s="237">
        <v>11.91</v>
      </c>
      <c r="F249" s="237">
        <v>10.92</v>
      </c>
      <c r="G249" s="237">
        <v>178.84</v>
      </c>
    </row>
    <row r="250" spans="1:7" x14ac:dyDescent="0.2">
      <c r="A250" s="238" t="s">
        <v>38</v>
      </c>
      <c r="B250" s="242" t="s">
        <v>36</v>
      </c>
      <c r="C250" s="235">
        <v>150</v>
      </c>
      <c r="D250" s="237">
        <v>8.77</v>
      </c>
      <c r="E250" s="237">
        <v>5.19</v>
      </c>
      <c r="F250" s="237">
        <v>39.630000000000003</v>
      </c>
      <c r="G250" s="237">
        <v>250</v>
      </c>
    </row>
    <row r="251" spans="1:7" ht="25.5" x14ac:dyDescent="0.2">
      <c r="A251" s="235" t="s">
        <v>42</v>
      </c>
      <c r="B251" s="236" t="s">
        <v>224</v>
      </c>
      <c r="C251" s="235">
        <v>200</v>
      </c>
      <c r="D251" s="237">
        <v>1</v>
      </c>
      <c r="E251" s="237">
        <v>0.1</v>
      </c>
      <c r="F251" s="237">
        <v>31</v>
      </c>
      <c r="G251" s="237">
        <v>135</v>
      </c>
    </row>
    <row r="252" spans="1:7" x14ac:dyDescent="0.2">
      <c r="A252" s="235"/>
      <c r="B252" s="236" t="s">
        <v>11</v>
      </c>
      <c r="C252" s="235">
        <v>20</v>
      </c>
      <c r="D252" s="237">
        <v>1.52</v>
      </c>
      <c r="E252" s="237">
        <v>0.16</v>
      </c>
      <c r="F252" s="237">
        <v>9.84</v>
      </c>
      <c r="G252" s="237">
        <v>49.17</v>
      </c>
    </row>
    <row r="253" spans="1:7" x14ac:dyDescent="0.2">
      <c r="A253" s="286" t="s">
        <v>252</v>
      </c>
      <c r="B253" s="286"/>
      <c r="C253" s="233">
        <f>SUM(C247:C252)</f>
        <v>740</v>
      </c>
      <c r="D253" s="237"/>
      <c r="E253" s="237"/>
      <c r="F253" s="237"/>
      <c r="G253" s="237"/>
    </row>
    <row r="254" spans="1:7" ht="22.5" customHeight="1" x14ac:dyDescent="0.2">
      <c r="A254" s="269" t="s">
        <v>281</v>
      </c>
      <c r="B254" s="269"/>
      <c r="C254" s="269"/>
      <c r="D254" s="232">
        <f>D255+D261</f>
        <v>47.97999999999999</v>
      </c>
      <c r="E254" s="232">
        <f t="shared" ref="E254:G254" si="30">E255+E261</f>
        <v>38.980000000000004</v>
      </c>
      <c r="F254" s="232">
        <f t="shared" si="30"/>
        <v>152.20000000000002</v>
      </c>
      <c r="G254" s="232">
        <f t="shared" si="30"/>
        <v>1188.8499999999999</v>
      </c>
    </row>
    <row r="255" spans="1:7" x14ac:dyDescent="0.2">
      <c r="A255" s="233"/>
      <c r="B255" s="269" t="s">
        <v>66</v>
      </c>
      <c r="C255" s="269"/>
      <c r="D255" s="232">
        <f>D256+D257+D258+D259</f>
        <v>24.199999999999996</v>
      </c>
      <c r="E255" s="232">
        <f t="shared" ref="E255:G255" si="31">E256+E257+E258+E259</f>
        <v>17.8</v>
      </c>
      <c r="F255" s="232">
        <f t="shared" si="31"/>
        <v>72.650000000000006</v>
      </c>
      <c r="G255" s="232">
        <f t="shared" si="31"/>
        <v>563.76</v>
      </c>
    </row>
    <row r="256" spans="1:7" x14ac:dyDescent="0.2">
      <c r="A256" s="238" t="s">
        <v>275</v>
      </c>
      <c r="B256" s="236" t="s">
        <v>274</v>
      </c>
      <c r="C256" s="235">
        <v>110</v>
      </c>
      <c r="D256" s="237">
        <v>14.37</v>
      </c>
      <c r="E256" s="237">
        <v>14.64</v>
      </c>
      <c r="F256" s="237">
        <v>4.9400000000000004</v>
      </c>
      <c r="G256" s="237">
        <v>209.02</v>
      </c>
    </row>
    <row r="257" spans="1:7" x14ac:dyDescent="0.2">
      <c r="A257" s="235" t="s">
        <v>33</v>
      </c>
      <c r="B257" s="236" t="s">
        <v>12</v>
      </c>
      <c r="C257" s="235">
        <v>150</v>
      </c>
      <c r="D257" s="237">
        <v>5.64</v>
      </c>
      <c r="E257" s="237">
        <v>2.84</v>
      </c>
      <c r="F257" s="237">
        <v>36</v>
      </c>
      <c r="G257" s="237">
        <v>201</v>
      </c>
    </row>
    <row r="258" spans="1:7" x14ac:dyDescent="0.2">
      <c r="A258" s="235" t="s">
        <v>42</v>
      </c>
      <c r="B258" s="236" t="s">
        <v>223</v>
      </c>
      <c r="C258" s="235">
        <v>200</v>
      </c>
      <c r="D258" s="237">
        <v>1.1499999999999999</v>
      </c>
      <c r="E258" s="237"/>
      <c r="F258" s="237">
        <v>12.03</v>
      </c>
      <c r="G258" s="237">
        <v>55.4</v>
      </c>
    </row>
    <row r="259" spans="1:7" x14ac:dyDescent="0.2">
      <c r="A259" s="235"/>
      <c r="B259" s="236" t="s">
        <v>11</v>
      </c>
      <c r="C259" s="235">
        <v>40</v>
      </c>
      <c r="D259" s="237">
        <v>3.04</v>
      </c>
      <c r="E259" s="237">
        <v>0.32</v>
      </c>
      <c r="F259" s="237">
        <v>19.68</v>
      </c>
      <c r="G259" s="237">
        <v>98.34</v>
      </c>
    </row>
    <row r="260" spans="1:7" x14ac:dyDescent="0.2">
      <c r="A260" s="270" t="s">
        <v>252</v>
      </c>
      <c r="B260" s="271"/>
      <c r="C260" s="240">
        <f>C256+C257+C258+C259</f>
        <v>500</v>
      </c>
      <c r="D260" s="241"/>
      <c r="E260" s="241"/>
      <c r="F260" s="241"/>
      <c r="G260" s="241"/>
    </row>
    <row r="261" spans="1:7" x14ac:dyDescent="0.2">
      <c r="A261" s="235"/>
      <c r="B261" s="285" t="s">
        <v>67</v>
      </c>
      <c r="C261" s="285"/>
      <c r="D261" s="248">
        <f>D262+D263+D264+D265+D266</f>
        <v>23.779999999999998</v>
      </c>
      <c r="E261" s="248">
        <f t="shared" ref="E261:G261" si="32">E262+E263+E264+E265+E266</f>
        <v>21.18</v>
      </c>
      <c r="F261" s="248">
        <f t="shared" si="32"/>
        <v>79.550000000000011</v>
      </c>
      <c r="G261" s="248">
        <f t="shared" si="32"/>
        <v>625.09</v>
      </c>
    </row>
    <row r="262" spans="1:7" x14ac:dyDescent="0.2">
      <c r="A262" s="235" t="s">
        <v>68</v>
      </c>
      <c r="B262" s="236" t="s">
        <v>69</v>
      </c>
      <c r="C262" s="235">
        <v>60</v>
      </c>
      <c r="D262" s="237">
        <v>0.84</v>
      </c>
      <c r="E262" s="237">
        <v>3.06</v>
      </c>
      <c r="F262" s="237">
        <v>6.83</v>
      </c>
      <c r="G262" s="237">
        <v>59.75</v>
      </c>
    </row>
    <row r="263" spans="1:7" ht="25.5" x14ac:dyDescent="0.2">
      <c r="A263" s="238" t="s">
        <v>101</v>
      </c>
      <c r="B263" s="236" t="s">
        <v>172</v>
      </c>
      <c r="C263" s="235">
        <v>205</v>
      </c>
      <c r="D263" s="237">
        <v>5.81</v>
      </c>
      <c r="E263" s="237">
        <v>11.82</v>
      </c>
      <c r="F263" s="237">
        <v>15.48</v>
      </c>
      <c r="G263" s="237">
        <v>196</v>
      </c>
    </row>
    <row r="264" spans="1:7" x14ac:dyDescent="0.2">
      <c r="A264" s="235" t="s">
        <v>229</v>
      </c>
      <c r="B264" s="236" t="s">
        <v>144</v>
      </c>
      <c r="C264" s="235">
        <v>200</v>
      </c>
      <c r="D264" s="237">
        <v>14.09</v>
      </c>
      <c r="E264" s="237">
        <v>5.98</v>
      </c>
      <c r="F264" s="237">
        <v>27.56</v>
      </c>
      <c r="G264" s="237">
        <v>229</v>
      </c>
    </row>
    <row r="265" spans="1:7" x14ac:dyDescent="0.2">
      <c r="A265" s="239" t="s">
        <v>182</v>
      </c>
      <c r="B265" s="236" t="s">
        <v>10</v>
      </c>
      <c r="C265" s="239">
        <v>200</v>
      </c>
      <c r="D265" s="237">
        <v>0</v>
      </c>
      <c r="E265" s="237">
        <v>0</v>
      </c>
      <c r="F265" s="237">
        <v>10</v>
      </c>
      <c r="G265" s="237">
        <v>42</v>
      </c>
    </row>
    <row r="266" spans="1:7" x14ac:dyDescent="0.2">
      <c r="A266" s="235"/>
      <c r="B266" s="236" t="s">
        <v>11</v>
      </c>
      <c r="C266" s="235">
        <v>40</v>
      </c>
      <c r="D266" s="237">
        <v>3.04</v>
      </c>
      <c r="E266" s="237">
        <v>0.32</v>
      </c>
      <c r="F266" s="237">
        <v>19.68</v>
      </c>
      <c r="G266" s="237">
        <v>98.34</v>
      </c>
    </row>
    <row r="267" spans="1:7" x14ac:dyDescent="0.2">
      <c r="A267" s="286" t="s">
        <v>252</v>
      </c>
      <c r="B267" s="286"/>
      <c r="C267" s="245">
        <f>SUM(C262:C266)</f>
        <v>705</v>
      </c>
      <c r="D267" s="237"/>
      <c r="E267" s="237"/>
      <c r="F267" s="237"/>
      <c r="G267" s="237"/>
    </row>
    <row r="268" spans="1:7" ht="22.5" customHeight="1" x14ac:dyDescent="0.2">
      <c r="A268" s="269" t="s">
        <v>282</v>
      </c>
      <c r="B268" s="269"/>
      <c r="C268" s="269"/>
      <c r="D268" s="232">
        <f>D269+D276</f>
        <v>45.789999999999992</v>
      </c>
      <c r="E268" s="232">
        <f t="shared" ref="E268:G268" si="33">E269+E276</f>
        <v>43.6</v>
      </c>
      <c r="F268" s="232">
        <f t="shared" si="33"/>
        <v>188.81</v>
      </c>
      <c r="G268" s="232">
        <f t="shared" si="33"/>
        <v>1374.94</v>
      </c>
    </row>
    <row r="269" spans="1:7" x14ac:dyDescent="0.2">
      <c r="A269" s="233"/>
      <c r="B269" s="269" t="s">
        <v>66</v>
      </c>
      <c r="C269" s="269"/>
      <c r="D269" s="232">
        <f>D270+D271+D272+D273+D274</f>
        <v>20.49</v>
      </c>
      <c r="E269" s="232">
        <f t="shared" ref="E269:G269" si="34">E270+E271+E272+E273+E274</f>
        <v>22.5</v>
      </c>
      <c r="F269" s="232">
        <f t="shared" si="34"/>
        <v>85.52000000000001</v>
      </c>
      <c r="G269" s="232">
        <f t="shared" si="34"/>
        <v>644.4</v>
      </c>
    </row>
    <row r="270" spans="1:7" x14ac:dyDescent="0.2">
      <c r="A270" s="235" t="s">
        <v>277</v>
      </c>
      <c r="B270" s="236" t="s">
        <v>276</v>
      </c>
      <c r="C270" s="235">
        <v>90</v>
      </c>
      <c r="D270" s="237">
        <v>10.18</v>
      </c>
      <c r="E270" s="237">
        <v>9.74</v>
      </c>
      <c r="F270" s="237">
        <v>10.17</v>
      </c>
      <c r="G270" s="237">
        <v>169.06</v>
      </c>
    </row>
    <row r="271" spans="1:7" x14ac:dyDescent="0.2">
      <c r="A271" s="235" t="s">
        <v>132</v>
      </c>
      <c r="B271" s="236" t="s">
        <v>133</v>
      </c>
      <c r="C271" s="235">
        <v>150</v>
      </c>
      <c r="D271" s="237">
        <v>5.77</v>
      </c>
      <c r="E271" s="237">
        <v>10.08</v>
      </c>
      <c r="F271" s="237">
        <v>30.69</v>
      </c>
      <c r="G271" s="237">
        <v>244</v>
      </c>
    </row>
    <row r="272" spans="1:7" x14ac:dyDescent="0.2">
      <c r="A272" s="238"/>
      <c r="B272" s="236" t="s">
        <v>62</v>
      </c>
      <c r="C272" s="235">
        <v>20</v>
      </c>
      <c r="D272" s="237">
        <v>1.5</v>
      </c>
      <c r="E272" s="237">
        <v>2.36</v>
      </c>
      <c r="F272" s="237">
        <v>14.98</v>
      </c>
      <c r="G272" s="237">
        <v>91</v>
      </c>
    </row>
    <row r="273" spans="1:7" x14ac:dyDescent="0.2">
      <c r="A273" s="238" t="s">
        <v>182</v>
      </c>
      <c r="B273" s="236" t="s">
        <v>10</v>
      </c>
      <c r="C273" s="239">
        <v>200</v>
      </c>
      <c r="D273" s="237">
        <v>0</v>
      </c>
      <c r="E273" s="237">
        <v>0</v>
      </c>
      <c r="F273" s="237">
        <v>10</v>
      </c>
      <c r="G273" s="237">
        <v>42</v>
      </c>
    </row>
    <row r="274" spans="1:7" x14ac:dyDescent="0.2">
      <c r="A274" s="238"/>
      <c r="B274" s="243" t="s">
        <v>11</v>
      </c>
      <c r="C274" s="238">
        <v>40</v>
      </c>
      <c r="D274" s="241">
        <v>3.04</v>
      </c>
      <c r="E274" s="241">
        <v>0.32</v>
      </c>
      <c r="F274" s="241">
        <v>19.68</v>
      </c>
      <c r="G274" s="241">
        <v>98.34</v>
      </c>
    </row>
    <row r="275" spans="1:7" x14ac:dyDescent="0.2">
      <c r="A275" s="270" t="s">
        <v>252</v>
      </c>
      <c r="B275" s="271"/>
      <c r="C275" s="245">
        <f>SUM(C270:C274)</f>
        <v>500</v>
      </c>
      <c r="D275" s="237"/>
      <c r="E275" s="237"/>
      <c r="F275" s="237"/>
      <c r="G275" s="237"/>
    </row>
    <row r="276" spans="1:7" x14ac:dyDescent="0.2">
      <c r="A276" s="239"/>
      <c r="B276" s="285" t="s">
        <v>67</v>
      </c>
      <c r="C276" s="285"/>
      <c r="D276" s="232">
        <f>D277+D278+D279+D280+D281</f>
        <v>25.299999999999997</v>
      </c>
      <c r="E276" s="232">
        <f t="shared" ref="E276:G276" si="35">E277+E278+E279+E280+E281</f>
        <v>21.1</v>
      </c>
      <c r="F276" s="232">
        <f t="shared" si="35"/>
        <v>103.28999999999999</v>
      </c>
      <c r="G276" s="232">
        <f t="shared" si="35"/>
        <v>730.54</v>
      </c>
    </row>
    <row r="277" spans="1:7" x14ac:dyDescent="0.2">
      <c r="A277" s="239" t="s">
        <v>193</v>
      </c>
      <c r="B277" s="236" t="s">
        <v>148</v>
      </c>
      <c r="C277" s="235">
        <v>60</v>
      </c>
      <c r="D277" s="237">
        <v>0.74</v>
      </c>
      <c r="E277" s="237">
        <v>0.06</v>
      </c>
      <c r="F277" s="237">
        <v>16.920000000000002</v>
      </c>
      <c r="G277" s="237">
        <v>74.709999999999994</v>
      </c>
    </row>
    <row r="278" spans="1:7" ht="25.5" x14ac:dyDescent="0.2">
      <c r="A278" s="235" t="s">
        <v>117</v>
      </c>
      <c r="B278" s="236" t="s">
        <v>145</v>
      </c>
      <c r="C278" s="235">
        <v>210</v>
      </c>
      <c r="D278" s="237">
        <v>2.64</v>
      </c>
      <c r="E278" s="237">
        <v>3.56</v>
      </c>
      <c r="F278" s="237">
        <v>11.76</v>
      </c>
      <c r="G278" s="237">
        <v>93</v>
      </c>
    </row>
    <row r="279" spans="1:7" x14ac:dyDescent="0.2">
      <c r="A279" s="238" t="s">
        <v>188</v>
      </c>
      <c r="B279" s="236" t="s">
        <v>139</v>
      </c>
      <c r="C279" s="235">
        <v>200</v>
      </c>
      <c r="D279" s="237">
        <v>17.73</v>
      </c>
      <c r="E279" s="237">
        <v>17.16</v>
      </c>
      <c r="F279" s="237">
        <v>42.9</v>
      </c>
      <c r="G279" s="237">
        <v>409.09</v>
      </c>
    </row>
    <row r="280" spans="1:7" x14ac:dyDescent="0.2">
      <c r="A280" s="235" t="s">
        <v>42</v>
      </c>
      <c r="B280" s="236" t="s">
        <v>223</v>
      </c>
      <c r="C280" s="235">
        <v>200</v>
      </c>
      <c r="D280" s="237">
        <v>1.1499999999999999</v>
      </c>
      <c r="E280" s="237"/>
      <c r="F280" s="237">
        <v>12.03</v>
      </c>
      <c r="G280" s="237">
        <v>55.4</v>
      </c>
    </row>
    <row r="281" spans="1:7" x14ac:dyDescent="0.2">
      <c r="A281" s="239"/>
      <c r="B281" s="236" t="s">
        <v>11</v>
      </c>
      <c r="C281" s="235">
        <v>40</v>
      </c>
      <c r="D281" s="237">
        <v>3.04</v>
      </c>
      <c r="E281" s="237">
        <v>0.32</v>
      </c>
      <c r="F281" s="237">
        <v>19.68</v>
      </c>
      <c r="G281" s="237">
        <v>98.34</v>
      </c>
    </row>
    <row r="282" spans="1:7" x14ac:dyDescent="0.2">
      <c r="A282" s="286" t="s">
        <v>252</v>
      </c>
      <c r="B282" s="286"/>
      <c r="C282" s="233">
        <f>SUM(C277:C281)</f>
        <v>710</v>
      </c>
      <c r="D282" s="237"/>
      <c r="E282" s="237"/>
      <c r="F282" s="237"/>
      <c r="G282" s="237"/>
    </row>
    <row r="283" spans="1:7" ht="29.25" customHeight="1" x14ac:dyDescent="0.2">
      <c r="A283" s="269" t="s">
        <v>285</v>
      </c>
      <c r="B283" s="269"/>
      <c r="C283" s="269"/>
      <c r="D283" s="232">
        <f>D284+D291</f>
        <v>39.299999999999997</v>
      </c>
      <c r="E283" s="232">
        <f t="shared" ref="E283:F283" si="36">E284+E291</f>
        <v>42.02</v>
      </c>
      <c r="F283" s="232">
        <f t="shared" si="36"/>
        <v>153.76999999999998</v>
      </c>
      <c r="G283" s="232">
        <f>G284+G291</f>
        <v>1206.664</v>
      </c>
    </row>
    <row r="284" spans="1:7" x14ac:dyDescent="0.2">
      <c r="A284" s="233"/>
      <c r="B284" s="269" t="s">
        <v>66</v>
      </c>
      <c r="C284" s="269"/>
      <c r="D284" s="232">
        <f>D285+D286+D287+D288+D289</f>
        <v>20.91</v>
      </c>
      <c r="E284" s="232">
        <f t="shared" ref="E284:G284" si="37">E285+E286+E287+E288+E289</f>
        <v>11.200000000000001</v>
      </c>
      <c r="F284" s="232">
        <f t="shared" si="37"/>
        <v>74.34</v>
      </c>
      <c r="G284" s="232">
        <f t="shared" si="37"/>
        <v>497.32</v>
      </c>
    </row>
    <row r="285" spans="1:7" x14ac:dyDescent="0.2">
      <c r="A285" s="235" t="s">
        <v>284</v>
      </c>
      <c r="B285" s="236" t="s">
        <v>283</v>
      </c>
      <c r="C285" s="235">
        <v>90</v>
      </c>
      <c r="D285" s="237">
        <v>14.55</v>
      </c>
      <c r="E285" s="237">
        <v>5.24</v>
      </c>
      <c r="F285" s="237">
        <v>8.2799999999999994</v>
      </c>
      <c r="G285" s="237">
        <v>138.54</v>
      </c>
    </row>
    <row r="286" spans="1:7" x14ac:dyDescent="0.2">
      <c r="A286" s="235" t="s">
        <v>189</v>
      </c>
      <c r="B286" s="236" t="s">
        <v>159</v>
      </c>
      <c r="C286" s="235">
        <v>150</v>
      </c>
      <c r="D286" s="237">
        <v>3.81</v>
      </c>
      <c r="E286" s="237">
        <v>2.72</v>
      </c>
      <c r="F286" s="237">
        <v>40</v>
      </c>
      <c r="G286" s="237">
        <v>208.48</v>
      </c>
    </row>
    <row r="287" spans="1:7" x14ac:dyDescent="0.2">
      <c r="A287" s="239" t="s">
        <v>191</v>
      </c>
      <c r="B287" s="236" t="s">
        <v>171</v>
      </c>
      <c r="C287" s="235">
        <v>30</v>
      </c>
      <c r="D287" s="237">
        <v>0.27</v>
      </c>
      <c r="E287" s="237">
        <v>3</v>
      </c>
      <c r="F287" s="237">
        <v>1.3</v>
      </c>
      <c r="G287" s="237">
        <v>34.5</v>
      </c>
    </row>
    <row r="288" spans="1:7" x14ac:dyDescent="0.2">
      <c r="A288" s="238" t="s">
        <v>182</v>
      </c>
      <c r="B288" s="236" t="s">
        <v>10</v>
      </c>
      <c r="C288" s="239">
        <v>200</v>
      </c>
      <c r="D288" s="237">
        <v>0</v>
      </c>
      <c r="E288" s="237">
        <v>0</v>
      </c>
      <c r="F288" s="237">
        <v>10</v>
      </c>
      <c r="G288" s="237">
        <v>42</v>
      </c>
    </row>
    <row r="289" spans="1:7" x14ac:dyDescent="0.2">
      <c r="A289" s="238"/>
      <c r="B289" s="243" t="s">
        <v>11</v>
      </c>
      <c r="C289" s="238">
        <v>30</v>
      </c>
      <c r="D289" s="241">
        <v>2.2799999999999998</v>
      </c>
      <c r="E289" s="241">
        <v>0.24</v>
      </c>
      <c r="F289" s="241">
        <v>14.76</v>
      </c>
      <c r="G289" s="241">
        <v>73.8</v>
      </c>
    </row>
    <row r="290" spans="1:7" x14ac:dyDescent="0.2">
      <c r="A290" s="270" t="s">
        <v>252</v>
      </c>
      <c r="B290" s="271"/>
      <c r="C290" s="233">
        <f>SUM(C285:C289)</f>
        <v>500</v>
      </c>
      <c r="D290" s="237"/>
      <c r="E290" s="237"/>
      <c r="F290" s="237"/>
      <c r="G290" s="237"/>
    </row>
    <row r="291" spans="1:7" x14ac:dyDescent="0.2">
      <c r="A291" s="235"/>
      <c r="B291" s="285" t="s">
        <v>67</v>
      </c>
      <c r="C291" s="285"/>
      <c r="D291" s="232">
        <f>D292+D293+D294+D295+D296+D297</f>
        <v>18.39</v>
      </c>
      <c r="E291" s="232">
        <f t="shared" ref="E291:G291" si="38">E292+E293+E294+E295+E296+E297</f>
        <v>30.82</v>
      </c>
      <c r="F291" s="232">
        <f t="shared" si="38"/>
        <v>79.429999999999993</v>
      </c>
      <c r="G291" s="232">
        <f t="shared" si="38"/>
        <v>709.34400000000005</v>
      </c>
    </row>
    <row r="292" spans="1:7" x14ac:dyDescent="0.2">
      <c r="A292" s="235" t="s">
        <v>190</v>
      </c>
      <c r="B292" s="236" t="s">
        <v>152</v>
      </c>
      <c r="C292" s="235">
        <v>60</v>
      </c>
      <c r="D292" s="237">
        <v>0.88</v>
      </c>
      <c r="E292" s="237">
        <v>3.11</v>
      </c>
      <c r="F292" s="237">
        <v>5.64</v>
      </c>
      <c r="G292" s="237">
        <v>55.8</v>
      </c>
    </row>
    <row r="293" spans="1:7" ht="25.5" x14ac:dyDescent="0.2">
      <c r="A293" s="235" t="s">
        <v>124</v>
      </c>
      <c r="B293" s="236" t="s">
        <v>156</v>
      </c>
      <c r="C293" s="235">
        <v>205</v>
      </c>
      <c r="D293" s="237">
        <v>3.96</v>
      </c>
      <c r="E293" s="237">
        <v>4.8600000000000003</v>
      </c>
      <c r="F293" s="237">
        <v>17.010000000000002</v>
      </c>
      <c r="G293" s="237">
        <v>131.81399999999999</v>
      </c>
    </row>
    <row r="294" spans="1:7" x14ac:dyDescent="0.2">
      <c r="A294" s="238" t="s">
        <v>162</v>
      </c>
      <c r="B294" s="236" t="s">
        <v>163</v>
      </c>
      <c r="C294" s="244">
        <v>110</v>
      </c>
      <c r="D294" s="237">
        <v>9.15</v>
      </c>
      <c r="E294" s="237">
        <v>14.97</v>
      </c>
      <c r="F294" s="237">
        <v>10.6</v>
      </c>
      <c r="G294" s="237">
        <v>217.68</v>
      </c>
    </row>
    <row r="295" spans="1:7" x14ac:dyDescent="0.2">
      <c r="A295" s="235" t="s">
        <v>34</v>
      </c>
      <c r="B295" s="236" t="s">
        <v>32</v>
      </c>
      <c r="C295" s="244">
        <v>150</v>
      </c>
      <c r="D295" s="237">
        <v>3.26</v>
      </c>
      <c r="E295" s="237">
        <v>7.8</v>
      </c>
      <c r="F295" s="237">
        <v>21.99</v>
      </c>
      <c r="G295" s="237">
        <v>176.3</v>
      </c>
    </row>
    <row r="296" spans="1:7" x14ac:dyDescent="0.2">
      <c r="A296" s="235" t="s">
        <v>194</v>
      </c>
      <c r="B296" s="236" t="s">
        <v>90</v>
      </c>
      <c r="C296" s="244">
        <v>200</v>
      </c>
      <c r="D296" s="237">
        <v>0.14000000000000001</v>
      </c>
      <c r="E296" s="237"/>
      <c r="F296" s="237">
        <v>16.190000000000001</v>
      </c>
      <c r="G296" s="237">
        <v>89.23</v>
      </c>
    </row>
    <row r="297" spans="1:7" x14ac:dyDescent="0.2">
      <c r="A297" s="239"/>
      <c r="B297" s="236" t="s">
        <v>37</v>
      </c>
      <c r="C297" s="235">
        <v>20</v>
      </c>
      <c r="D297" s="237">
        <v>1</v>
      </c>
      <c r="E297" s="237">
        <v>0.08</v>
      </c>
      <c r="F297" s="237">
        <v>8</v>
      </c>
      <c r="G297" s="237">
        <v>38.520000000000003</v>
      </c>
    </row>
    <row r="298" spans="1:7" x14ac:dyDescent="0.2">
      <c r="A298" s="286" t="s">
        <v>252</v>
      </c>
      <c r="B298" s="286"/>
      <c r="C298" s="233">
        <f>SUM(C292:C297)</f>
        <v>745</v>
      </c>
      <c r="D298" s="237"/>
      <c r="E298" s="237"/>
      <c r="F298" s="237"/>
      <c r="G298" s="237"/>
    </row>
    <row r="299" spans="1:7" ht="22.5" customHeight="1" x14ac:dyDescent="0.2">
      <c r="A299" s="269" t="s">
        <v>286</v>
      </c>
      <c r="B299" s="269"/>
      <c r="C299" s="269"/>
      <c r="D299" s="232">
        <f>D300+D306</f>
        <v>52.3</v>
      </c>
      <c r="E299" s="232">
        <f t="shared" ref="E299:G299" si="39">E300+E306</f>
        <v>42.31</v>
      </c>
      <c r="F299" s="232">
        <f t="shared" si="39"/>
        <v>148.06</v>
      </c>
      <c r="G299" s="232">
        <f t="shared" si="39"/>
        <v>1209.4380000000001</v>
      </c>
    </row>
    <row r="300" spans="1:7" x14ac:dyDescent="0.2">
      <c r="A300" s="233"/>
      <c r="B300" s="269" t="s">
        <v>66</v>
      </c>
      <c r="C300" s="269"/>
      <c r="D300" s="232">
        <f>D301+D302+D303+D304</f>
        <v>28.39</v>
      </c>
      <c r="E300" s="232">
        <f t="shared" ref="E300:G300" si="40">E301+E302+E303+E304</f>
        <v>9.39</v>
      </c>
      <c r="F300" s="232">
        <f t="shared" si="40"/>
        <v>80.09</v>
      </c>
      <c r="G300" s="232">
        <f t="shared" si="40"/>
        <v>527.21</v>
      </c>
    </row>
    <row r="301" spans="1:7" x14ac:dyDescent="0.2">
      <c r="A301" s="238"/>
      <c r="B301" s="236" t="s">
        <v>41</v>
      </c>
      <c r="C301" s="235">
        <v>110</v>
      </c>
      <c r="D301" s="237">
        <v>0.44</v>
      </c>
      <c r="E301" s="237">
        <v>0</v>
      </c>
      <c r="F301" s="237">
        <v>10.78</v>
      </c>
      <c r="G301" s="237">
        <v>47.12</v>
      </c>
    </row>
    <row r="302" spans="1:7" x14ac:dyDescent="0.2">
      <c r="A302" s="235" t="s">
        <v>288</v>
      </c>
      <c r="B302" s="236" t="s">
        <v>287</v>
      </c>
      <c r="C302" s="235">
        <v>150</v>
      </c>
      <c r="D302" s="237">
        <v>24.91</v>
      </c>
      <c r="E302" s="237">
        <v>9.07</v>
      </c>
      <c r="F302" s="237">
        <v>39.630000000000003</v>
      </c>
      <c r="G302" s="237">
        <v>339.75</v>
      </c>
    </row>
    <row r="303" spans="1:7" x14ac:dyDescent="0.2">
      <c r="A303" s="238" t="s">
        <v>182</v>
      </c>
      <c r="B303" s="236" t="s">
        <v>10</v>
      </c>
      <c r="C303" s="239">
        <v>200</v>
      </c>
      <c r="D303" s="237">
        <v>0</v>
      </c>
      <c r="E303" s="237">
        <v>0</v>
      </c>
      <c r="F303" s="237">
        <v>10</v>
      </c>
      <c r="G303" s="237">
        <v>42</v>
      </c>
    </row>
    <row r="304" spans="1:7" x14ac:dyDescent="0.2">
      <c r="A304" s="238"/>
      <c r="B304" s="243" t="s">
        <v>11</v>
      </c>
      <c r="C304" s="238">
        <v>40</v>
      </c>
      <c r="D304" s="241">
        <v>3.04</v>
      </c>
      <c r="E304" s="241">
        <v>0.32</v>
      </c>
      <c r="F304" s="241">
        <v>19.68</v>
      </c>
      <c r="G304" s="241">
        <v>98.34</v>
      </c>
    </row>
    <row r="305" spans="1:7" x14ac:dyDescent="0.2">
      <c r="A305" s="270" t="s">
        <v>252</v>
      </c>
      <c r="B305" s="271"/>
      <c r="C305" s="245">
        <f>SUM(C301:C304)</f>
        <v>500</v>
      </c>
      <c r="D305" s="235"/>
      <c r="E305" s="235"/>
      <c r="F305" s="235"/>
      <c r="G305" s="235"/>
    </row>
    <row r="306" spans="1:7" x14ac:dyDescent="0.2">
      <c r="A306" s="235"/>
      <c r="B306" s="285" t="s">
        <v>67</v>
      </c>
      <c r="C306" s="285"/>
      <c r="D306" s="232">
        <f>D307+D308+D309+D310+D311</f>
        <v>23.91</v>
      </c>
      <c r="E306" s="232">
        <f t="shared" ref="E306:G306" si="41">E307+E308+E309+E310+E311</f>
        <v>32.92</v>
      </c>
      <c r="F306" s="232">
        <f t="shared" si="41"/>
        <v>67.97</v>
      </c>
      <c r="G306" s="232">
        <f t="shared" si="41"/>
        <v>682.22799999999995</v>
      </c>
    </row>
    <row r="307" spans="1:7" x14ac:dyDescent="0.2">
      <c r="A307" s="235" t="s">
        <v>292</v>
      </c>
      <c r="B307" s="236" t="s">
        <v>291</v>
      </c>
      <c r="C307" s="235">
        <v>60</v>
      </c>
      <c r="D307" s="251">
        <v>0.48</v>
      </c>
      <c r="E307" s="237">
        <v>0</v>
      </c>
      <c r="F307" s="237">
        <v>1.02</v>
      </c>
      <c r="G307" s="237">
        <v>6</v>
      </c>
    </row>
    <row r="308" spans="1:7" x14ac:dyDescent="0.2">
      <c r="A308" s="238" t="s">
        <v>187</v>
      </c>
      <c r="B308" s="236" t="s">
        <v>161</v>
      </c>
      <c r="C308" s="244">
        <v>210</v>
      </c>
      <c r="D308" s="237">
        <v>4.6500000000000004</v>
      </c>
      <c r="E308" s="237">
        <v>6.92</v>
      </c>
      <c r="F308" s="237">
        <v>12.49</v>
      </c>
      <c r="G308" s="237">
        <v>134.268</v>
      </c>
    </row>
    <row r="309" spans="1:7" x14ac:dyDescent="0.2">
      <c r="A309" s="235" t="s">
        <v>234</v>
      </c>
      <c r="B309" s="236" t="s">
        <v>157</v>
      </c>
      <c r="C309" s="235">
        <v>200</v>
      </c>
      <c r="D309" s="237">
        <v>16.48</v>
      </c>
      <c r="E309" s="237">
        <v>25.76</v>
      </c>
      <c r="F309" s="237">
        <v>10.39</v>
      </c>
      <c r="G309" s="237">
        <v>345</v>
      </c>
    </row>
    <row r="310" spans="1:7" ht="25.5" x14ac:dyDescent="0.2">
      <c r="A310" s="238" t="s">
        <v>40</v>
      </c>
      <c r="B310" s="236" t="s">
        <v>225</v>
      </c>
      <c r="C310" s="235">
        <v>200</v>
      </c>
      <c r="D310" s="237">
        <v>0.02</v>
      </c>
      <c r="E310" s="237"/>
      <c r="F310" s="237">
        <v>29.31</v>
      </c>
      <c r="G310" s="237">
        <v>123.16</v>
      </c>
    </row>
    <row r="311" spans="1:7" x14ac:dyDescent="0.2">
      <c r="A311" s="238"/>
      <c r="B311" s="243" t="s">
        <v>11</v>
      </c>
      <c r="C311" s="238">
        <v>30</v>
      </c>
      <c r="D311" s="241">
        <v>2.2799999999999998</v>
      </c>
      <c r="E311" s="241">
        <v>0.24</v>
      </c>
      <c r="F311" s="241">
        <v>14.76</v>
      </c>
      <c r="G311" s="241">
        <v>73.8</v>
      </c>
    </row>
    <row r="312" spans="1:7" x14ac:dyDescent="0.2">
      <c r="A312" s="286" t="s">
        <v>252</v>
      </c>
      <c r="B312" s="286"/>
      <c r="C312" s="233">
        <f>SUM(C307:C311)</f>
        <v>700</v>
      </c>
      <c r="D312" s="237"/>
      <c r="E312" s="237"/>
      <c r="F312" s="237"/>
      <c r="G312" s="237"/>
    </row>
  </sheetData>
  <mergeCells count="106">
    <mergeCell ref="B300:C300"/>
    <mergeCell ref="B306:C306"/>
    <mergeCell ref="A312:B312"/>
    <mergeCell ref="A170:B170"/>
    <mergeCell ref="B284:C284"/>
    <mergeCell ref="A290:B290"/>
    <mergeCell ref="B291:C291"/>
    <mergeCell ref="A298:B298"/>
    <mergeCell ref="A299:C299"/>
    <mergeCell ref="B269:C269"/>
    <mergeCell ref="A275:B275"/>
    <mergeCell ref="B276:C276"/>
    <mergeCell ref="A282:B282"/>
    <mergeCell ref="A283:C283"/>
    <mergeCell ref="B255:C255"/>
    <mergeCell ref="B261:C261"/>
    <mergeCell ref="A267:B267"/>
    <mergeCell ref="A268:C268"/>
    <mergeCell ref="B240:C240"/>
    <mergeCell ref="A245:B245"/>
    <mergeCell ref="B246:C246"/>
    <mergeCell ref="A253:B253"/>
    <mergeCell ref="A254:C254"/>
    <mergeCell ref="B226:C226"/>
    <mergeCell ref="A231:B231"/>
    <mergeCell ref="B232:C232"/>
    <mergeCell ref="A238:B238"/>
    <mergeCell ref="A239:C239"/>
    <mergeCell ref="B211:C211"/>
    <mergeCell ref="A216:B216"/>
    <mergeCell ref="B217:C217"/>
    <mergeCell ref="A224:B224"/>
    <mergeCell ref="A225:C225"/>
    <mergeCell ref="B196:C196"/>
    <mergeCell ref="A202:B202"/>
    <mergeCell ref="B203:C203"/>
    <mergeCell ref="A209:B209"/>
    <mergeCell ref="A210:C210"/>
    <mergeCell ref="B180:C180"/>
    <mergeCell ref="A186:B186"/>
    <mergeCell ref="B187:C187"/>
    <mergeCell ref="A194:B194"/>
    <mergeCell ref="A195:C195"/>
    <mergeCell ref="B33:C33"/>
    <mergeCell ref="B42:C42"/>
    <mergeCell ref="B116:C116"/>
    <mergeCell ref="B122:C122"/>
    <mergeCell ref="B131:C131"/>
    <mergeCell ref="B138:C138"/>
    <mergeCell ref="B48:C48"/>
    <mergeCell ref="B154:C154"/>
    <mergeCell ref="B57:C57"/>
    <mergeCell ref="A130:C130"/>
    <mergeCell ref="A146:C146"/>
    <mergeCell ref="A121:B121"/>
    <mergeCell ref="A129:B129"/>
    <mergeCell ref="A137:B137"/>
    <mergeCell ref="A145:B145"/>
    <mergeCell ref="B171:C171"/>
    <mergeCell ref="A178:B178"/>
    <mergeCell ref="A179:C179"/>
    <mergeCell ref="A1:G2"/>
    <mergeCell ref="A3:G4"/>
    <mergeCell ref="A5:A6"/>
    <mergeCell ref="B5:B6"/>
    <mergeCell ref="C5:C6"/>
    <mergeCell ref="G5:G6"/>
    <mergeCell ref="D5:F5"/>
    <mergeCell ref="B63:C63"/>
    <mergeCell ref="B71:C71"/>
    <mergeCell ref="A8:C8"/>
    <mergeCell ref="A26:C26"/>
    <mergeCell ref="A99:C99"/>
    <mergeCell ref="B92:C92"/>
    <mergeCell ref="A162:C162"/>
    <mergeCell ref="B147:C147"/>
    <mergeCell ref="A98:B98"/>
    <mergeCell ref="A106:B106"/>
    <mergeCell ref="A114:B114"/>
    <mergeCell ref="B9:C9"/>
    <mergeCell ref="B19:C19"/>
    <mergeCell ref="B27:C27"/>
    <mergeCell ref="A260:B260"/>
    <mergeCell ref="A305:B305"/>
    <mergeCell ref="A161:B161"/>
    <mergeCell ref="A18:B18"/>
    <mergeCell ref="A25:B25"/>
    <mergeCell ref="A32:B32"/>
    <mergeCell ref="A40:B40"/>
    <mergeCell ref="A47:B47"/>
    <mergeCell ref="A41:C41"/>
    <mergeCell ref="A56:C56"/>
    <mergeCell ref="A70:C70"/>
    <mergeCell ref="A85:C85"/>
    <mergeCell ref="A115:C115"/>
    <mergeCell ref="A55:B55"/>
    <mergeCell ref="A62:B62"/>
    <mergeCell ref="A69:B69"/>
    <mergeCell ref="A76:B76"/>
    <mergeCell ref="A84:B84"/>
    <mergeCell ref="A153:B153"/>
    <mergeCell ref="B100:C100"/>
    <mergeCell ref="B107:C107"/>
    <mergeCell ref="A91:B91"/>
    <mergeCell ref="B77:C77"/>
    <mergeCell ref="B86:C86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Z308"/>
  <sheetViews>
    <sheetView topLeftCell="A275" zoomScale="112" zoomScaleNormal="112" workbookViewId="0">
      <selection sqref="A1:G308"/>
    </sheetView>
  </sheetViews>
  <sheetFormatPr defaultRowHeight="12.75" x14ac:dyDescent="0.2"/>
  <cols>
    <col min="1" max="1" width="11" style="197" customWidth="1"/>
    <col min="2" max="2" width="36.140625" style="212" customWidth="1"/>
    <col min="3" max="3" width="11.28515625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1.5703125" style="197" customWidth="1"/>
    <col min="8" max="16384" width="9.140625" style="185"/>
  </cols>
  <sheetData>
    <row r="1" spans="1:7" ht="12.75" customHeight="1" x14ac:dyDescent="0.2">
      <c r="A1" s="267" t="s">
        <v>260</v>
      </c>
      <c r="B1" s="267"/>
      <c r="C1" s="267"/>
      <c r="D1" s="267"/>
      <c r="E1" s="267"/>
      <c r="F1" s="267"/>
      <c r="G1" s="267"/>
    </row>
    <row r="2" spans="1:7" x14ac:dyDescent="0.2">
      <c r="A2" s="267"/>
      <c r="B2" s="267"/>
      <c r="C2" s="267"/>
      <c r="D2" s="267"/>
      <c r="E2" s="267"/>
      <c r="F2" s="267"/>
      <c r="G2" s="267"/>
    </row>
    <row r="3" spans="1:7" ht="25.5" customHeight="1" x14ac:dyDescent="0.2">
      <c r="A3" s="264" t="s">
        <v>261</v>
      </c>
      <c r="B3" s="264"/>
      <c r="C3" s="264"/>
      <c r="D3" s="264"/>
      <c r="E3" s="264"/>
      <c r="F3" s="264"/>
      <c r="G3" s="264"/>
    </row>
    <row r="4" spans="1:7" x14ac:dyDescent="0.2">
      <c r="A4" s="265"/>
      <c r="B4" s="265"/>
      <c r="C4" s="265"/>
      <c r="D4" s="265"/>
      <c r="E4" s="265"/>
      <c r="F4" s="265"/>
      <c r="G4" s="265"/>
    </row>
    <row r="5" spans="1:7" ht="33.75" customHeight="1" x14ac:dyDescent="0.2">
      <c r="A5" s="268" t="s">
        <v>239</v>
      </c>
      <c r="B5" s="268" t="s">
        <v>240</v>
      </c>
      <c r="C5" s="268" t="s">
        <v>241</v>
      </c>
      <c r="D5" s="268" t="s">
        <v>242</v>
      </c>
      <c r="E5" s="268"/>
      <c r="F5" s="268"/>
      <c r="G5" s="268" t="s">
        <v>23</v>
      </c>
    </row>
    <row r="6" spans="1:7" ht="34.5" customHeight="1" x14ac:dyDescent="0.2">
      <c r="A6" s="268"/>
      <c r="B6" s="268"/>
      <c r="C6" s="268"/>
      <c r="D6" s="187" t="s">
        <v>17</v>
      </c>
      <c r="E6" s="187" t="s">
        <v>19</v>
      </c>
      <c r="F6" s="187" t="s">
        <v>21</v>
      </c>
      <c r="G6" s="26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72" t="s">
        <v>243</v>
      </c>
      <c r="B8" s="273"/>
      <c r="C8" s="274"/>
      <c r="D8" s="186">
        <f>D9+D19</f>
        <v>45.065399999999997</v>
      </c>
      <c r="E8" s="186">
        <f t="shared" ref="E8:F8" si="0">E9+E19</f>
        <v>52.544600000000003</v>
      </c>
      <c r="F8" s="186">
        <f t="shared" si="0"/>
        <v>209.73610000000002</v>
      </c>
      <c r="G8" s="186">
        <f>G9+G19</f>
        <v>1543.625</v>
      </c>
    </row>
    <row r="9" spans="1:7" x14ac:dyDescent="0.2">
      <c r="A9" s="187"/>
      <c r="B9" s="188" t="s">
        <v>66</v>
      </c>
      <c r="C9" s="187"/>
      <c r="D9" s="186">
        <f>D10+D11+D12+D13+D14+D15</f>
        <v>18.112500000000001</v>
      </c>
      <c r="E9" s="186">
        <f>E10+E11+E12+E13+E14+E15</f>
        <v>22.482500000000002</v>
      </c>
      <c r="F9" s="186">
        <f>F10+F11+F12+F13+F14+F15</f>
        <v>106.66750000000002</v>
      </c>
      <c r="G9" s="186">
        <f>G10+G11+G12+G13+G14+G15</f>
        <v>726.65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203</v>
      </c>
      <c r="C12" s="189">
        <v>255</v>
      </c>
      <c r="D12" s="190">
        <f>6.81*1.25</f>
        <v>8.5124999999999993</v>
      </c>
      <c r="E12" s="190">
        <f>10.45*1.25</f>
        <v>13.0625</v>
      </c>
      <c r="F12" s="190">
        <f>29.51*1.25</f>
        <v>36.887500000000003</v>
      </c>
      <c r="G12" s="190">
        <f>246.6*1.25</f>
        <v>308.25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40</v>
      </c>
      <c r="D15" s="190">
        <v>3.04</v>
      </c>
      <c r="E15" s="190">
        <v>0.32</v>
      </c>
      <c r="F15" s="190">
        <v>19.68</v>
      </c>
      <c r="G15" s="190">
        <v>98.34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62" t="s">
        <v>252</v>
      </c>
      <c r="B18" s="263"/>
      <c r="C18" s="207">
        <f>SUM(C10:C17)</f>
        <v>550</v>
      </c>
      <c r="D18" s="192"/>
      <c r="E18" s="192"/>
      <c r="F18" s="192"/>
      <c r="G18" s="192"/>
    </row>
    <row r="19" spans="1:7" x14ac:dyDescent="0.2">
      <c r="A19" s="196"/>
      <c r="B19" s="230" t="s">
        <v>67</v>
      </c>
      <c r="C19" s="207"/>
      <c r="D19" s="217">
        <f>D20+D21+D22+D23+D24</f>
        <v>26.9529</v>
      </c>
      <c r="E19" s="217">
        <f t="shared" ref="E19:F19" si="1">E20+E21+E22+E23+E24</f>
        <v>30.062099999999997</v>
      </c>
      <c r="F19" s="217">
        <f t="shared" si="1"/>
        <v>103.0686</v>
      </c>
      <c r="G19" s="217">
        <f>G20+G21+G22+G23+G24</f>
        <v>816.97499999999991</v>
      </c>
    </row>
    <row r="20" spans="1:7" x14ac:dyDescent="0.2">
      <c r="A20" s="189" t="s">
        <v>192</v>
      </c>
      <c r="B20" s="182" t="s">
        <v>137</v>
      </c>
      <c r="C20" s="189">
        <v>100</v>
      </c>
      <c r="D20" s="190">
        <f>0.94*1.66</f>
        <v>1.5603999999999998</v>
      </c>
      <c r="E20" s="190">
        <f>4.06*1.66</f>
        <v>6.7395999999999994</v>
      </c>
      <c r="F20" s="190">
        <f>5.96*1.66</f>
        <v>9.8935999999999993</v>
      </c>
      <c r="G20" s="190">
        <v>108.76</v>
      </c>
    </row>
    <row r="21" spans="1:7" ht="15" customHeight="1" x14ac:dyDescent="0.2">
      <c r="A21" s="189" t="s">
        <v>184</v>
      </c>
      <c r="B21" s="182" t="s">
        <v>138</v>
      </c>
      <c r="C21" s="189">
        <v>255</v>
      </c>
      <c r="D21" s="190">
        <f>3.09*1.25</f>
        <v>3.8624999999999998</v>
      </c>
      <c r="E21" s="190">
        <f>4.61*1.25</f>
        <v>5.7625000000000002</v>
      </c>
      <c r="F21" s="190">
        <f>12.54*1.25</f>
        <v>15.674999999999999</v>
      </c>
      <c r="G21" s="190">
        <f>107.36*1.25</f>
        <v>134.19999999999999</v>
      </c>
    </row>
    <row r="22" spans="1:7" x14ac:dyDescent="0.2">
      <c r="A22" s="196" t="s">
        <v>188</v>
      </c>
      <c r="B22" s="182" t="s">
        <v>139</v>
      </c>
      <c r="C22" s="189">
        <v>200</v>
      </c>
      <c r="D22" s="190">
        <v>17.73</v>
      </c>
      <c r="E22" s="190">
        <v>17.16</v>
      </c>
      <c r="F22" s="190">
        <v>42.9</v>
      </c>
      <c r="G22" s="190">
        <v>409.09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50</v>
      </c>
      <c r="D24" s="190">
        <f>3.04*1.25</f>
        <v>3.8</v>
      </c>
      <c r="E24" s="190">
        <f>0.32*1.25</f>
        <v>0.4</v>
      </c>
      <c r="F24" s="190">
        <f>19.68*1.25</f>
        <v>24.6</v>
      </c>
      <c r="G24" s="190">
        <f>98.34*1.25</f>
        <v>122.92500000000001</v>
      </c>
    </row>
    <row r="25" spans="1:7" x14ac:dyDescent="0.2">
      <c r="A25" s="262" t="s">
        <v>252</v>
      </c>
      <c r="B25" s="263"/>
      <c r="C25" s="207">
        <f>SUM(C20:C24)</f>
        <v>805</v>
      </c>
      <c r="D25" s="192"/>
      <c r="E25" s="192"/>
      <c r="F25" s="192"/>
      <c r="G25" s="192"/>
    </row>
    <row r="26" spans="1:7" ht="27.95" customHeight="1" x14ac:dyDescent="0.2">
      <c r="A26" s="272" t="s">
        <v>244</v>
      </c>
      <c r="B26" s="273"/>
      <c r="C26" s="274"/>
      <c r="D26" s="186">
        <f t="shared" ref="D26:F26" si="2">D27+D33</f>
        <v>45.602440000000001</v>
      </c>
      <c r="E26" s="186">
        <f t="shared" si="2"/>
        <v>49.963459999999998</v>
      </c>
      <c r="F26" s="186">
        <f t="shared" si="2"/>
        <v>220.72628</v>
      </c>
      <c r="G26" s="186">
        <f>G27+G33</f>
        <v>1570.7134999999998</v>
      </c>
    </row>
    <row r="27" spans="1:7" x14ac:dyDescent="0.2">
      <c r="A27" s="187"/>
      <c r="B27" s="188" t="s">
        <v>66</v>
      </c>
      <c r="C27" s="187"/>
      <c r="D27" s="186">
        <f>D28+D29+D30+D31</f>
        <v>17.302499999999998</v>
      </c>
      <c r="E27" s="186">
        <f>E28+E29+E30+E31</f>
        <v>13.0875</v>
      </c>
      <c r="F27" s="186">
        <f>F28+F29+F30+F31</f>
        <v>116.45750000000001</v>
      </c>
      <c r="G27" s="186">
        <f>G28+G29+G30+G31</f>
        <v>681.25000000000011</v>
      </c>
    </row>
    <row r="28" spans="1:7" ht="25.5" x14ac:dyDescent="0.2">
      <c r="A28" s="189" t="s">
        <v>180</v>
      </c>
      <c r="B28" s="182" t="s">
        <v>206</v>
      </c>
      <c r="C28" s="189">
        <v>253</v>
      </c>
      <c r="D28" s="190">
        <f>7.81*1.25</f>
        <v>9.7624999999999993</v>
      </c>
      <c r="E28" s="190">
        <f>4.55*1.25</f>
        <v>5.6875</v>
      </c>
      <c r="F28" s="190">
        <f>33.47*1.25</f>
        <v>41.837499999999999</v>
      </c>
      <c r="G28" s="190">
        <v>267.91000000000003</v>
      </c>
    </row>
    <row r="29" spans="1:7" x14ac:dyDescent="0.2">
      <c r="A29" s="196"/>
      <c r="B29" s="182" t="s">
        <v>62</v>
      </c>
      <c r="C29" s="189">
        <v>60</v>
      </c>
      <c r="D29" s="190">
        <f>1.5*3</f>
        <v>4.5</v>
      </c>
      <c r="E29" s="190">
        <f>2.36*3</f>
        <v>7.08</v>
      </c>
      <c r="F29" s="190">
        <f>14.98*3</f>
        <v>44.94</v>
      </c>
      <c r="G29" s="190">
        <f>91*3</f>
        <v>273</v>
      </c>
    </row>
    <row r="30" spans="1:7" x14ac:dyDescent="0.2">
      <c r="A30" s="196" t="s">
        <v>182</v>
      </c>
      <c r="B30" s="182" t="s">
        <v>10</v>
      </c>
      <c r="C30" s="189">
        <v>200</v>
      </c>
      <c r="D30" s="190">
        <v>0</v>
      </c>
      <c r="E30" s="190">
        <v>0</v>
      </c>
      <c r="F30" s="190">
        <v>10</v>
      </c>
      <c r="G30" s="190">
        <v>42</v>
      </c>
    </row>
    <row r="31" spans="1:7" x14ac:dyDescent="0.2">
      <c r="A31" s="189"/>
      <c r="B31" s="182" t="s">
        <v>11</v>
      </c>
      <c r="C31" s="189">
        <v>40</v>
      </c>
      <c r="D31" s="190">
        <v>3.04</v>
      </c>
      <c r="E31" s="190">
        <v>0.32</v>
      </c>
      <c r="F31" s="190">
        <v>19.68</v>
      </c>
      <c r="G31" s="190">
        <v>98.34</v>
      </c>
    </row>
    <row r="32" spans="1:7" x14ac:dyDescent="0.2">
      <c r="A32" s="262" t="s">
        <v>252</v>
      </c>
      <c r="B32" s="263"/>
      <c r="C32" s="187">
        <f>SUM(C28:C31)</f>
        <v>553</v>
      </c>
      <c r="D32" s="190"/>
      <c r="E32" s="190"/>
      <c r="F32" s="190"/>
      <c r="G32" s="190"/>
    </row>
    <row r="33" spans="1:7" x14ac:dyDescent="0.2">
      <c r="A33" s="189"/>
      <c r="B33" s="230" t="s">
        <v>67</v>
      </c>
      <c r="C33" s="187"/>
      <c r="D33" s="186">
        <f>D34+D35+D36+D37+D38+D39</f>
        <v>28.299939999999999</v>
      </c>
      <c r="E33" s="186">
        <f>E34+E35+E36+E37+E38+E39</f>
        <v>36.875959999999999</v>
      </c>
      <c r="F33" s="186">
        <f>F34+F35+F36+F37+F38+F39</f>
        <v>104.26877999999999</v>
      </c>
      <c r="G33" s="186">
        <f>G34+G35+G36+G37+G38+G39</f>
        <v>889.46349999999984</v>
      </c>
    </row>
    <row r="34" spans="1:7" x14ac:dyDescent="0.2">
      <c r="A34" s="189" t="s">
        <v>68</v>
      </c>
      <c r="B34" s="182" t="s">
        <v>69</v>
      </c>
      <c r="C34" s="189">
        <v>100</v>
      </c>
      <c r="D34" s="190">
        <f>0.84*1.666</f>
        <v>1.3994399999999998</v>
      </c>
      <c r="E34" s="190">
        <f>3.06*1.666</f>
        <v>5.0979599999999996</v>
      </c>
      <c r="F34" s="190">
        <f>6.83*1.666</f>
        <v>11.378779999999999</v>
      </c>
      <c r="G34" s="190">
        <f>59.75*1.666</f>
        <v>99.543499999999995</v>
      </c>
    </row>
    <row r="35" spans="1:7" ht="25.5" x14ac:dyDescent="0.2">
      <c r="A35" s="189" t="s">
        <v>185</v>
      </c>
      <c r="B35" s="182" t="s">
        <v>141</v>
      </c>
      <c r="C35" s="189">
        <v>255</v>
      </c>
      <c r="D35" s="190">
        <f>2.57*1.25</f>
        <v>3.2124999999999999</v>
      </c>
      <c r="E35" s="190">
        <f>9.24*1.25</f>
        <v>11.55</v>
      </c>
      <c r="F35" s="190">
        <f>18.04*1.25</f>
        <v>22.549999999999997</v>
      </c>
      <c r="G35" s="190">
        <f>169.72*1.25</f>
        <v>212.15</v>
      </c>
    </row>
    <row r="36" spans="1:7" x14ac:dyDescent="0.2">
      <c r="A36" s="196" t="s">
        <v>43</v>
      </c>
      <c r="B36" s="182" t="s">
        <v>65</v>
      </c>
      <c r="C36" s="189">
        <v>100</v>
      </c>
      <c r="D36" s="190">
        <v>14.25</v>
      </c>
      <c r="E36" s="190">
        <v>16.66</v>
      </c>
      <c r="F36" s="190">
        <v>5.27</v>
      </c>
      <c r="G36" s="190">
        <v>232</v>
      </c>
    </row>
    <row r="37" spans="1:7" x14ac:dyDescent="0.2">
      <c r="A37" s="189" t="s">
        <v>33</v>
      </c>
      <c r="B37" s="182" t="s">
        <v>12</v>
      </c>
      <c r="C37" s="189">
        <v>180</v>
      </c>
      <c r="D37" s="190">
        <f>5.64*1.2</f>
        <v>6.7679999999999998</v>
      </c>
      <c r="E37" s="190">
        <f>2.84*1.2</f>
        <v>3.4079999999999999</v>
      </c>
      <c r="F37" s="190">
        <f>36*1.2</f>
        <v>43.199999999999996</v>
      </c>
      <c r="G37" s="190">
        <f>201*1.2</f>
        <v>241.2</v>
      </c>
    </row>
    <row r="38" spans="1:7" x14ac:dyDescent="0.2">
      <c r="A38" s="196" t="s">
        <v>42</v>
      </c>
      <c r="B38" s="191" t="s">
        <v>223</v>
      </c>
      <c r="C38" s="189">
        <v>200</v>
      </c>
      <c r="D38" s="190">
        <v>1.1499999999999999</v>
      </c>
      <c r="E38" s="190"/>
      <c r="F38" s="190">
        <v>12.03</v>
      </c>
      <c r="G38" s="190">
        <v>55.4</v>
      </c>
    </row>
    <row r="39" spans="1:7" x14ac:dyDescent="0.2">
      <c r="A39" s="189"/>
      <c r="B39" s="182" t="s">
        <v>11</v>
      </c>
      <c r="C39" s="189">
        <v>20</v>
      </c>
      <c r="D39" s="190">
        <v>1.52</v>
      </c>
      <c r="E39" s="190">
        <v>0.16</v>
      </c>
      <c r="F39" s="190">
        <v>9.84</v>
      </c>
      <c r="G39" s="190">
        <v>49.17</v>
      </c>
    </row>
    <row r="40" spans="1:7" x14ac:dyDescent="0.2">
      <c r="A40" s="262" t="s">
        <v>252</v>
      </c>
      <c r="B40" s="263"/>
      <c r="C40" s="187">
        <f>SUM(C34:C39)</f>
        <v>855</v>
      </c>
      <c r="D40" s="190"/>
      <c r="E40" s="190"/>
      <c r="F40" s="190"/>
      <c r="G40" s="190"/>
    </row>
    <row r="41" spans="1:7" ht="27.95" customHeight="1" x14ac:dyDescent="0.2">
      <c r="A41" s="272" t="s">
        <v>245</v>
      </c>
      <c r="B41" s="273"/>
      <c r="C41" s="274"/>
      <c r="D41" s="186">
        <f>D42+D48</f>
        <v>43.667099999999998</v>
      </c>
      <c r="E41" s="186">
        <f t="shared" ref="E41:F41" si="3">E42+E48</f>
        <v>40.778599999999997</v>
      </c>
      <c r="F41" s="186">
        <f t="shared" si="3"/>
        <v>221.29239999999999</v>
      </c>
      <c r="G41" s="186">
        <f>G42+G48</f>
        <v>1480.4850000000001</v>
      </c>
    </row>
    <row r="42" spans="1:7" x14ac:dyDescent="0.2">
      <c r="A42" s="187"/>
      <c r="B42" s="188" t="s">
        <v>66</v>
      </c>
      <c r="C42" s="187"/>
      <c r="D42" s="186">
        <f>D43+D44+D45+D46</f>
        <v>13.68</v>
      </c>
      <c r="E42" s="186">
        <f t="shared" ref="E42:F42" si="4">E43+E44+E45+E46</f>
        <v>8.5</v>
      </c>
      <c r="F42" s="186">
        <f t="shared" si="4"/>
        <v>101.5</v>
      </c>
      <c r="G42" s="186">
        <f>G43+G44+G45+G46</f>
        <v>560.125</v>
      </c>
    </row>
    <row r="43" spans="1:7" x14ac:dyDescent="0.2">
      <c r="A43" s="189"/>
      <c r="B43" s="182" t="s">
        <v>41</v>
      </c>
      <c r="C43" s="189">
        <v>100</v>
      </c>
      <c r="D43" s="190">
        <v>0.4</v>
      </c>
      <c r="E43" s="190">
        <v>0</v>
      </c>
      <c r="F43" s="190">
        <v>9.8000000000000007</v>
      </c>
      <c r="G43" s="190">
        <v>42.84</v>
      </c>
    </row>
    <row r="44" spans="1:7" ht="25.5" x14ac:dyDescent="0.2">
      <c r="A44" s="189" t="s">
        <v>180</v>
      </c>
      <c r="B44" s="182" t="s">
        <v>208</v>
      </c>
      <c r="C44" s="189">
        <v>203</v>
      </c>
      <c r="D44" s="190">
        <v>8.48</v>
      </c>
      <c r="E44" s="190">
        <v>8</v>
      </c>
      <c r="F44" s="190">
        <v>36.1</v>
      </c>
      <c r="G44" s="190">
        <v>259.36</v>
      </c>
    </row>
    <row r="45" spans="1:7" ht="21.75" customHeight="1" x14ac:dyDescent="0.2">
      <c r="A45" s="189" t="s">
        <v>42</v>
      </c>
      <c r="B45" s="182" t="s">
        <v>224</v>
      </c>
      <c r="C45" s="189">
        <v>200</v>
      </c>
      <c r="D45" s="190">
        <v>1</v>
      </c>
      <c r="E45" s="190">
        <v>0.1</v>
      </c>
      <c r="F45" s="190">
        <v>31</v>
      </c>
      <c r="G45" s="190">
        <v>135</v>
      </c>
    </row>
    <row r="46" spans="1:7" x14ac:dyDescent="0.2">
      <c r="A46" s="189"/>
      <c r="B46" s="182" t="s">
        <v>11</v>
      </c>
      <c r="C46" s="189">
        <v>50</v>
      </c>
      <c r="D46" s="190">
        <f>3.04*1.25</f>
        <v>3.8</v>
      </c>
      <c r="E46" s="190">
        <f>0.32*1.25</f>
        <v>0.4</v>
      </c>
      <c r="F46" s="190">
        <f>19.68*1.25</f>
        <v>24.6</v>
      </c>
      <c r="G46" s="190">
        <f>98.34*1.25</f>
        <v>122.92500000000001</v>
      </c>
    </row>
    <row r="47" spans="1:7" x14ac:dyDescent="0.2">
      <c r="A47" s="262" t="s">
        <v>252</v>
      </c>
      <c r="B47" s="263"/>
      <c r="C47" s="187">
        <f>SUM(C43:C46)</f>
        <v>553</v>
      </c>
      <c r="D47" s="190"/>
      <c r="E47" s="190"/>
      <c r="F47" s="190"/>
      <c r="G47" s="190"/>
    </row>
    <row r="48" spans="1:7" x14ac:dyDescent="0.2">
      <c r="A48" s="189"/>
      <c r="B48" s="230" t="s">
        <v>67</v>
      </c>
      <c r="C48" s="187"/>
      <c r="D48" s="186">
        <f>D49+D50+D51+D52+D53+D54</f>
        <v>29.987099999999998</v>
      </c>
      <c r="E48" s="186">
        <f t="shared" ref="E48:F48" si="5">E49+E50+E51+E52+E53+E54</f>
        <v>32.278599999999997</v>
      </c>
      <c r="F48" s="186">
        <f t="shared" si="5"/>
        <v>119.7924</v>
      </c>
      <c r="G48" s="186">
        <f>G49+G50+G51+G52+G53+G54</f>
        <v>920.36</v>
      </c>
    </row>
    <row r="49" spans="1:7" x14ac:dyDescent="0.2">
      <c r="A49" s="189" t="s">
        <v>82</v>
      </c>
      <c r="B49" s="182" t="s">
        <v>83</v>
      </c>
      <c r="C49" s="189">
        <v>100</v>
      </c>
      <c r="D49" s="190">
        <f>1.21*1.67</f>
        <v>2.0206999999999997</v>
      </c>
      <c r="E49" s="190">
        <f>6.2*1.67</f>
        <v>10.353999999999999</v>
      </c>
      <c r="F49" s="190">
        <f>12.33*1.67</f>
        <v>20.591100000000001</v>
      </c>
      <c r="G49" s="190">
        <f>113*1.67</f>
        <v>188.70999999999998</v>
      </c>
    </row>
    <row r="50" spans="1:7" ht="25.5" x14ac:dyDescent="0.2">
      <c r="A50" s="189" t="s">
        <v>117</v>
      </c>
      <c r="B50" s="182" t="s">
        <v>145</v>
      </c>
      <c r="C50" s="189">
        <v>260</v>
      </c>
      <c r="D50" s="190">
        <f>2.64*1.25</f>
        <v>3.3000000000000003</v>
      </c>
      <c r="E50" s="190">
        <f>3.56*1.25</f>
        <v>4.45</v>
      </c>
      <c r="F50" s="190">
        <f>11.76*1.25</f>
        <v>14.7</v>
      </c>
      <c r="G50" s="190">
        <f>93*1.25</f>
        <v>116.25</v>
      </c>
    </row>
    <row r="51" spans="1:7" x14ac:dyDescent="0.2">
      <c r="A51" s="189" t="s">
        <v>131</v>
      </c>
      <c r="B51" s="182" t="s">
        <v>146</v>
      </c>
      <c r="C51" s="189">
        <v>100</v>
      </c>
      <c r="D51" s="190">
        <f>11.84*1.11</f>
        <v>13.1424</v>
      </c>
      <c r="E51" s="190">
        <f>10.06*1.11</f>
        <v>11.166600000000001</v>
      </c>
      <c r="F51" s="190">
        <f>16.03*1.11</f>
        <v>17.793300000000002</v>
      </c>
      <c r="G51" s="190">
        <f>208*1.11</f>
        <v>230.88000000000002</v>
      </c>
    </row>
    <row r="52" spans="1:7" x14ac:dyDescent="0.2">
      <c r="A52" s="196" t="s">
        <v>38</v>
      </c>
      <c r="B52" s="182" t="s">
        <v>36</v>
      </c>
      <c r="C52" s="189">
        <v>180</v>
      </c>
      <c r="D52" s="190">
        <f>8.77*1.2</f>
        <v>10.523999999999999</v>
      </c>
      <c r="E52" s="190">
        <f>5.19*1.2</f>
        <v>6.2280000000000006</v>
      </c>
      <c r="F52" s="190">
        <f>39.6*1.23</f>
        <v>48.707999999999998</v>
      </c>
      <c r="G52" s="190">
        <v>304</v>
      </c>
    </row>
    <row r="53" spans="1:7" x14ac:dyDescent="0.2">
      <c r="A53" s="196" t="s">
        <v>182</v>
      </c>
      <c r="B53" s="182" t="s">
        <v>10</v>
      </c>
      <c r="C53" s="189">
        <v>200</v>
      </c>
      <c r="D53" s="190">
        <v>0</v>
      </c>
      <c r="E53" s="190">
        <v>0</v>
      </c>
      <c r="F53" s="190">
        <v>10</v>
      </c>
      <c r="G53" s="190">
        <v>42</v>
      </c>
    </row>
    <row r="54" spans="1:7" x14ac:dyDescent="0.2">
      <c r="A54" s="189"/>
      <c r="B54" s="182" t="s">
        <v>37</v>
      </c>
      <c r="C54" s="189">
        <v>20</v>
      </c>
      <c r="D54" s="190">
        <v>1</v>
      </c>
      <c r="E54" s="190">
        <v>0.08</v>
      </c>
      <c r="F54" s="190">
        <v>8</v>
      </c>
      <c r="G54" s="190">
        <v>38.520000000000003</v>
      </c>
    </row>
    <row r="55" spans="1:7" x14ac:dyDescent="0.2">
      <c r="A55" s="262" t="s">
        <v>252</v>
      </c>
      <c r="B55" s="263"/>
      <c r="C55" s="187">
        <f>SUM(C49:C54)</f>
        <v>860</v>
      </c>
      <c r="D55" s="190"/>
      <c r="E55" s="190"/>
      <c r="F55" s="190"/>
      <c r="G55" s="190"/>
    </row>
    <row r="56" spans="1:7" ht="27.95" customHeight="1" x14ac:dyDescent="0.2">
      <c r="A56" s="272" t="s">
        <v>246</v>
      </c>
      <c r="B56" s="273"/>
      <c r="C56" s="274"/>
      <c r="D56" s="186">
        <f t="shared" ref="D56:F56" si="6">D57+D63</f>
        <v>47.518500000000003</v>
      </c>
      <c r="E56" s="186">
        <f t="shared" si="6"/>
        <v>46.386200000000002</v>
      </c>
      <c r="F56" s="186">
        <f t="shared" si="6"/>
        <v>205.7038</v>
      </c>
      <c r="G56" s="186">
        <f>G57+G63</f>
        <v>1482.376</v>
      </c>
    </row>
    <row r="57" spans="1:7" x14ac:dyDescent="0.2">
      <c r="A57" s="187"/>
      <c r="B57" s="188" t="s">
        <v>66</v>
      </c>
      <c r="C57" s="187"/>
      <c r="D57" s="186">
        <f>D58+D59+D60+D61</f>
        <v>17.024999999999999</v>
      </c>
      <c r="E57" s="186">
        <f t="shared" ref="E57:F57" si="7">E58+E59+E60+E61</f>
        <v>9.4224999999999994</v>
      </c>
      <c r="F57" s="186">
        <f t="shared" si="7"/>
        <v>111.12</v>
      </c>
      <c r="G57" s="186">
        <f>G58+G59+G60+G61</f>
        <v>623.05000000000007</v>
      </c>
    </row>
    <row r="58" spans="1:7" x14ac:dyDescent="0.2">
      <c r="A58" s="196" t="s">
        <v>199</v>
      </c>
      <c r="B58" s="182" t="s">
        <v>196</v>
      </c>
      <c r="C58" s="189">
        <v>60</v>
      </c>
      <c r="D58" s="190">
        <v>4.91</v>
      </c>
      <c r="E58" s="190">
        <v>3.79</v>
      </c>
      <c r="F58" s="190">
        <v>36.090000000000003</v>
      </c>
      <c r="G58" s="190">
        <v>206.31</v>
      </c>
    </row>
    <row r="59" spans="1:7" ht="25.5" x14ac:dyDescent="0.2">
      <c r="A59" s="189" t="s">
        <v>180</v>
      </c>
      <c r="B59" s="182" t="s">
        <v>207</v>
      </c>
      <c r="C59" s="189">
        <v>253</v>
      </c>
      <c r="D59" s="190">
        <f>7.26*1.25</f>
        <v>9.0749999999999993</v>
      </c>
      <c r="E59" s="190">
        <f>4.25*1.25</f>
        <v>5.3125</v>
      </c>
      <c r="F59" s="190">
        <f>36.28*1.25</f>
        <v>45.35</v>
      </c>
      <c r="G59" s="190">
        <v>276.39999999999998</v>
      </c>
    </row>
    <row r="60" spans="1:7" x14ac:dyDescent="0.2">
      <c r="A60" s="196" t="s">
        <v>182</v>
      </c>
      <c r="B60" s="191" t="s">
        <v>10</v>
      </c>
      <c r="C60" s="189">
        <v>200</v>
      </c>
      <c r="D60" s="190">
        <v>0</v>
      </c>
      <c r="E60" s="190">
        <v>0</v>
      </c>
      <c r="F60" s="190">
        <v>10</v>
      </c>
      <c r="G60" s="190">
        <v>42</v>
      </c>
    </row>
    <row r="61" spans="1:7" ht="15" customHeight="1" x14ac:dyDescent="0.2">
      <c r="A61" s="189"/>
      <c r="B61" s="182" t="s">
        <v>11</v>
      </c>
      <c r="C61" s="189">
        <v>40</v>
      </c>
      <c r="D61" s="190">
        <v>3.04</v>
      </c>
      <c r="E61" s="190">
        <v>0.32</v>
      </c>
      <c r="F61" s="190">
        <v>19.68</v>
      </c>
      <c r="G61" s="190">
        <v>98.34</v>
      </c>
    </row>
    <row r="62" spans="1:7" ht="15" customHeight="1" x14ac:dyDescent="0.2">
      <c r="A62" s="262" t="s">
        <v>252</v>
      </c>
      <c r="B62" s="263"/>
      <c r="C62" s="187">
        <f>SUM(C58:C61)</f>
        <v>553</v>
      </c>
      <c r="D62" s="190"/>
      <c r="E62" s="190"/>
      <c r="F62" s="190"/>
      <c r="G62" s="190"/>
    </row>
    <row r="63" spans="1:7" ht="15" customHeight="1" x14ac:dyDescent="0.2">
      <c r="A63" s="189"/>
      <c r="B63" s="230" t="s">
        <v>67</v>
      </c>
      <c r="C63" s="187"/>
      <c r="D63" s="186">
        <f>D64+D65+D66+D67+D68</f>
        <v>30.493500000000001</v>
      </c>
      <c r="E63" s="186">
        <f>E64+E65+E66+E67+E68</f>
        <v>36.963700000000003</v>
      </c>
      <c r="F63" s="186">
        <f>F64+F65+F66+F67+F68</f>
        <v>94.583799999999997</v>
      </c>
      <c r="G63" s="186">
        <f>G64+G65+G66+G67+G68</f>
        <v>859.32599999999991</v>
      </c>
    </row>
    <row r="64" spans="1:7" ht="15" customHeight="1" x14ac:dyDescent="0.2">
      <c r="A64" s="189" t="s">
        <v>190</v>
      </c>
      <c r="B64" s="182" t="s">
        <v>152</v>
      </c>
      <c r="C64" s="189">
        <v>100</v>
      </c>
      <c r="D64" s="190">
        <f>0.8*1.67</f>
        <v>1.3360000000000001</v>
      </c>
      <c r="E64" s="190">
        <f>3.11*1.67</f>
        <v>5.1936999999999998</v>
      </c>
      <c r="F64" s="190">
        <f>5.64*1.67</f>
        <v>9.4187999999999992</v>
      </c>
      <c r="G64" s="190">
        <f>55.8*1.67</f>
        <v>93.185999999999993</v>
      </c>
    </row>
    <row r="65" spans="1:7" ht="30" customHeight="1" x14ac:dyDescent="0.2">
      <c r="A65" s="189" t="s">
        <v>186</v>
      </c>
      <c r="B65" s="182" t="s">
        <v>149</v>
      </c>
      <c r="C65" s="189">
        <v>260</v>
      </c>
      <c r="D65" s="190">
        <f>6.51*1.25</f>
        <v>8.1374999999999993</v>
      </c>
      <c r="E65" s="190">
        <f>12.28*1.25</f>
        <v>15.35</v>
      </c>
      <c r="F65" s="190">
        <f>18.94*1.25</f>
        <v>23.675000000000001</v>
      </c>
      <c r="G65" s="190">
        <v>271.76</v>
      </c>
    </row>
    <row r="66" spans="1:7" ht="15" customHeight="1" x14ac:dyDescent="0.2">
      <c r="A66" s="189" t="s">
        <v>236</v>
      </c>
      <c r="B66" s="182" t="s">
        <v>150</v>
      </c>
      <c r="C66" s="189">
        <v>260</v>
      </c>
      <c r="D66" s="190">
        <v>18.350000000000001</v>
      </c>
      <c r="E66" s="190">
        <v>16.260000000000002</v>
      </c>
      <c r="F66" s="190">
        <v>39.619999999999997</v>
      </c>
      <c r="G66" s="190">
        <v>389.81</v>
      </c>
    </row>
    <row r="67" spans="1:7" ht="14.25" customHeight="1" x14ac:dyDescent="0.2">
      <c r="A67" s="196" t="s">
        <v>42</v>
      </c>
      <c r="B67" s="182" t="s">
        <v>223</v>
      </c>
      <c r="C67" s="189">
        <v>200</v>
      </c>
      <c r="D67" s="190">
        <v>1.1499999999999999</v>
      </c>
      <c r="E67" s="190"/>
      <c r="F67" s="190">
        <v>12.03</v>
      </c>
      <c r="G67" s="190">
        <v>55.4</v>
      </c>
    </row>
    <row r="68" spans="1:7" ht="15" customHeight="1" x14ac:dyDescent="0.2">
      <c r="A68" s="189"/>
      <c r="B68" s="182" t="s">
        <v>11</v>
      </c>
      <c r="C68" s="189">
        <v>20</v>
      </c>
      <c r="D68" s="190">
        <v>1.52</v>
      </c>
      <c r="E68" s="190">
        <v>0.16</v>
      </c>
      <c r="F68" s="190">
        <v>9.84</v>
      </c>
      <c r="G68" s="190">
        <v>49.17</v>
      </c>
    </row>
    <row r="69" spans="1:7" ht="15" customHeight="1" x14ac:dyDescent="0.2">
      <c r="A69" s="262" t="s">
        <v>252</v>
      </c>
      <c r="B69" s="263"/>
      <c r="C69" s="187">
        <f>SUM(C64:C68)</f>
        <v>840</v>
      </c>
      <c r="D69" s="190"/>
      <c r="E69" s="190"/>
      <c r="F69" s="190"/>
      <c r="G69" s="190"/>
    </row>
    <row r="70" spans="1:7" ht="27.95" customHeight="1" x14ac:dyDescent="0.2">
      <c r="A70" s="272" t="s">
        <v>247</v>
      </c>
      <c r="B70" s="273"/>
      <c r="C70" s="274"/>
      <c r="D70" s="186">
        <f>D71+D77</f>
        <v>47.972900000000003</v>
      </c>
      <c r="E70" s="186">
        <f t="shared" ref="E70:F70" si="8">E71+E77</f>
        <v>36.838700000000003</v>
      </c>
      <c r="F70" s="186">
        <f t="shared" si="8"/>
        <v>228.12540000000001</v>
      </c>
      <c r="G70" s="186">
        <f>G71+G77</f>
        <v>1491.5707</v>
      </c>
    </row>
    <row r="71" spans="1:7" x14ac:dyDescent="0.2">
      <c r="A71" s="187"/>
      <c r="B71" s="188" t="s">
        <v>66</v>
      </c>
      <c r="C71" s="187"/>
      <c r="D71" s="186">
        <f>D72+D73+D74+D75</f>
        <v>15.64</v>
      </c>
      <c r="E71" s="186">
        <f>E72+E73+E74+E75</f>
        <v>9.620000000000001</v>
      </c>
      <c r="F71" s="186">
        <f>F72+F73+F74+F75</f>
        <v>94.050000000000011</v>
      </c>
      <c r="G71" s="186">
        <f>G72+G73+G74+G75</f>
        <v>547.32500000000005</v>
      </c>
    </row>
    <row r="72" spans="1:7" x14ac:dyDescent="0.2">
      <c r="A72" s="189"/>
      <c r="B72" s="182" t="s">
        <v>41</v>
      </c>
      <c r="C72" s="189">
        <v>100</v>
      </c>
      <c r="D72" s="190">
        <v>0.4</v>
      </c>
      <c r="E72" s="190">
        <v>0</v>
      </c>
      <c r="F72" s="190">
        <v>9.8000000000000007</v>
      </c>
      <c r="G72" s="190">
        <v>42.84</v>
      </c>
    </row>
    <row r="73" spans="1:7" x14ac:dyDescent="0.2">
      <c r="A73" s="189" t="s">
        <v>200</v>
      </c>
      <c r="B73" s="182" t="s">
        <v>197</v>
      </c>
      <c r="C73" s="189">
        <v>203</v>
      </c>
      <c r="D73" s="190">
        <v>11.44</v>
      </c>
      <c r="E73" s="190">
        <v>9.2200000000000006</v>
      </c>
      <c r="F73" s="190">
        <v>49.65</v>
      </c>
      <c r="G73" s="190">
        <v>339.56</v>
      </c>
    </row>
    <row r="74" spans="1:7" x14ac:dyDescent="0.2">
      <c r="A74" s="206" t="s">
        <v>182</v>
      </c>
      <c r="B74" s="182" t="s">
        <v>10</v>
      </c>
      <c r="C74" s="206">
        <v>200</v>
      </c>
      <c r="D74" s="190">
        <v>0</v>
      </c>
      <c r="E74" s="190">
        <v>0</v>
      </c>
      <c r="F74" s="190">
        <v>10</v>
      </c>
      <c r="G74" s="190">
        <v>42</v>
      </c>
    </row>
    <row r="75" spans="1:7" ht="13.5" customHeight="1" x14ac:dyDescent="0.2">
      <c r="A75" s="189"/>
      <c r="B75" s="182" t="s">
        <v>11</v>
      </c>
      <c r="C75" s="189">
        <v>50</v>
      </c>
      <c r="D75" s="190">
        <f>3.04*1.25</f>
        <v>3.8</v>
      </c>
      <c r="E75" s="190">
        <f>0.32*1.25</f>
        <v>0.4</v>
      </c>
      <c r="F75" s="190">
        <f>19.68*1.25</f>
        <v>24.6</v>
      </c>
      <c r="G75" s="190">
        <f>98.34*1.25</f>
        <v>122.92500000000001</v>
      </c>
    </row>
    <row r="76" spans="1:7" x14ac:dyDescent="0.2">
      <c r="A76" s="262" t="s">
        <v>252</v>
      </c>
      <c r="B76" s="263"/>
      <c r="C76" s="187">
        <f>SUM(C72:C75)</f>
        <v>553</v>
      </c>
      <c r="D76" s="190"/>
      <c r="E76" s="190"/>
      <c r="F76" s="190"/>
      <c r="G76" s="190"/>
    </row>
    <row r="77" spans="1:7" x14ac:dyDescent="0.2">
      <c r="A77" s="189"/>
      <c r="B77" s="230" t="s">
        <v>67</v>
      </c>
      <c r="C77" s="187"/>
      <c r="D77" s="186">
        <f>D78+D79+D80+D81+D82+D83</f>
        <v>32.332900000000002</v>
      </c>
      <c r="E77" s="186">
        <f>E78+E79+E80+E81+E82+E83</f>
        <v>27.218699999999998</v>
      </c>
      <c r="F77" s="186">
        <f>F78+F79+F80+F81+F82+F83</f>
        <v>134.0754</v>
      </c>
      <c r="G77" s="186">
        <f>G78+G79+G80+G81+G82+G83</f>
        <v>944.24569999999994</v>
      </c>
    </row>
    <row r="78" spans="1:7" ht="18.75" customHeight="1" x14ac:dyDescent="0.2">
      <c r="A78" s="206" t="s">
        <v>193</v>
      </c>
      <c r="B78" s="182" t="s">
        <v>148</v>
      </c>
      <c r="C78" s="189">
        <v>100</v>
      </c>
      <c r="D78" s="190">
        <f>0.74*1.66</f>
        <v>1.2283999999999999</v>
      </c>
      <c r="E78" s="190">
        <f>0.06*1.67</f>
        <v>0.1002</v>
      </c>
      <c r="F78" s="190">
        <f>16.92*1.67</f>
        <v>28.256400000000003</v>
      </c>
      <c r="G78" s="190">
        <f>74.71*1.67</f>
        <v>124.76569999999998</v>
      </c>
    </row>
    <row r="79" spans="1:7" x14ac:dyDescent="0.2">
      <c r="A79" s="189" t="s">
        <v>184</v>
      </c>
      <c r="B79" s="182" t="s">
        <v>138</v>
      </c>
      <c r="C79" s="189">
        <v>255</v>
      </c>
      <c r="D79" s="190">
        <f>3.09*1.25</f>
        <v>3.8624999999999998</v>
      </c>
      <c r="E79" s="190">
        <f>4.61*1.25</f>
        <v>5.7625000000000002</v>
      </c>
      <c r="F79" s="190">
        <f>12.54*1.25</f>
        <v>15.674999999999999</v>
      </c>
      <c r="G79" s="190">
        <f>107.36*1.25</f>
        <v>134.19999999999999</v>
      </c>
    </row>
    <row r="80" spans="1:7" x14ac:dyDescent="0.2">
      <c r="A80" s="189" t="s">
        <v>227</v>
      </c>
      <c r="B80" s="182" t="s">
        <v>154</v>
      </c>
      <c r="C80" s="189">
        <v>110</v>
      </c>
      <c r="D80" s="190">
        <v>5.73</v>
      </c>
      <c r="E80" s="190">
        <v>16.34</v>
      </c>
      <c r="F80" s="190">
        <v>10.38</v>
      </c>
      <c r="G80" s="190">
        <v>215</v>
      </c>
    </row>
    <row r="81" spans="1:21" x14ac:dyDescent="0.2">
      <c r="A81" s="196" t="s">
        <v>134</v>
      </c>
      <c r="B81" s="182" t="s">
        <v>155</v>
      </c>
      <c r="C81" s="189">
        <v>180</v>
      </c>
      <c r="D81" s="190">
        <f>16.26*1.2</f>
        <v>19.512</v>
      </c>
      <c r="E81" s="190">
        <f>4.03*1.2</f>
        <v>4.8360000000000003</v>
      </c>
      <c r="F81" s="190">
        <f>33.97*1.2</f>
        <v>40.763999999999996</v>
      </c>
      <c r="G81" s="190">
        <f>247.3*1.2</f>
        <v>296.76</v>
      </c>
    </row>
    <row r="82" spans="1:21" ht="18" customHeight="1" x14ac:dyDescent="0.2">
      <c r="A82" s="189" t="s">
        <v>42</v>
      </c>
      <c r="B82" s="182" t="s">
        <v>224</v>
      </c>
      <c r="C82" s="189">
        <v>200</v>
      </c>
      <c r="D82" s="190">
        <v>1</v>
      </c>
      <c r="E82" s="190">
        <v>0.1</v>
      </c>
      <c r="F82" s="190">
        <v>31</v>
      </c>
      <c r="G82" s="190">
        <v>135</v>
      </c>
    </row>
    <row r="83" spans="1:21" x14ac:dyDescent="0.2">
      <c r="A83" s="189"/>
      <c r="B83" s="182" t="s">
        <v>37</v>
      </c>
      <c r="C83" s="189">
        <v>20</v>
      </c>
      <c r="D83" s="190">
        <v>1</v>
      </c>
      <c r="E83" s="190">
        <v>0.08</v>
      </c>
      <c r="F83" s="190">
        <v>8</v>
      </c>
      <c r="G83" s="190">
        <v>38.520000000000003</v>
      </c>
    </row>
    <row r="84" spans="1:21" x14ac:dyDescent="0.2">
      <c r="A84" s="262" t="s">
        <v>252</v>
      </c>
      <c r="B84" s="263"/>
      <c r="C84" s="187">
        <f>SUM(C78:C83)</f>
        <v>865</v>
      </c>
      <c r="D84" s="190"/>
      <c r="E84" s="190"/>
      <c r="F84" s="190"/>
      <c r="G84" s="190"/>
    </row>
    <row r="85" spans="1:21" ht="27.95" customHeight="1" x14ac:dyDescent="0.2">
      <c r="A85" s="272" t="s">
        <v>248</v>
      </c>
      <c r="B85" s="273"/>
      <c r="C85" s="274"/>
      <c r="D85" s="186">
        <f t="shared" ref="D85:F85" si="9">D86+D92</f>
        <v>43.030699999999996</v>
      </c>
      <c r="E85" s="186">
        <f t="shared" si="9"/>
        <v>59.549000000000007</v>
      </c>
      <c r="F85" s="186">
        <f t="shared" si="9"/>
        <v>198.25110000000001</v>
      </c>
      <c r="G85" s="186">
        <f>G86+G92</f>
        <v>1550.83474</v>
      </c>
    </row>
    <row r="86" spans="1:21" x14ac:dyDescent="0.2">
      <c r="A86" s="187"/>
      <c r="B86" s="188" t="s">
        <v>66</v>
      </c>
      <c r="C86" s="187"/>
      <c r="D86" s="186">
        <f>D87+D88+D89+D90</f>
        <v>12.399999999999999</v>
      </c>
      <c r="E86" s="186">
        <f>E87+E88+E89+E90</f>
        <v>10.6</v>
      </c>
      <c r="F86" s="186">
        <f>F87+F88+F89+F90</f>
        <v>94.420000000000016</v>
      </c>
      <c r="G86" s="186">
        <f>G87+G88+G89+G90</f>
        <v>544.08500000000004</v>
      </c>
    </row>
    <row r="87" spans="1:21" x14ac:dyDescent="0.2">
      <c r="A87" s="189"/>
      <c r="B87" s="182" t="s">
        <v>41</v>
      </c>
      <c r="C87" s="189">
        <v>100</v>
      </c>
      <c r="D87" s="190">
        <v>0.4</v>
      </c>
      <c r="E87" s="190">
        <v>0</v>
      </c>
      <c r="F87" s="190">
        <v>9.8000000000000007</v>
      </c>
      <c r="G87" s="190">
        <v>42.84</v>
      </c>
    </row>
    <row r="88" spans="1:21" ht="24.75" customHeight="1" x14ac:dyDescent="0.2">
      <c r="A88" s="189" t="s">
        <v>180</v>
      </c>
      <c r="B88" s="182" t="s">
        <v>205</v>
      </c>
      <c r="C88" s="189">
        <v>203</v>
      </c>
      <c r="D88" s="190">
        <v>8.1999999999999993</v>
      </c>
      <c r="E88" s="190">
        <v>10.199999999999999</v>
      </c>
      <c r="F88" s="190">
        <v>50.02</v>
      </c>
      <c r="G88" s="190">
        <v>336.32</v>
      </c>
      <c r="H88" s="194"/>
      <c r="I88" s="194"/>
      <c r="J88" s="194"/>
      <c r="K88" s="194"/>
      <c r="L88" s="194"/>
      <c r="M88" s="195"/>
      <c r="N88" s="194"/>
      <c r="O88" s="194"/>
      <c r="P88" s="194"/>
      <c r="Q88" s="194"/>
      <c r="R88" s="194"/>
    </row>
    <row r="89" spans="1:21" ht="12" customHeight="1" x14ac:dyDescent="0.2">
      <c r="A89" s="189" t="s">
        <v>182</v>
      </c>
      <c r="B89" s="182" t="s">
        <v>10</v>
      </c>
      <c r="C89" s="189">
        <v>200</v>
      </c>
      <c r="D89" s="190">
        <v>0</v>
      </c>
      <c r="E89" s="190">
        <v>0</v>
      </c>
      <c r="F89" s="190">
        <v>10</v>
      </c>
      <c r="G89" s="190">
        <v>42</v>
      </c>
      <c r="H89" s="194"/>
      <c r="I89" s="194"/>
      <c r="J89" s="194"/>
      <c r="K89" s="194"/>
      <c r="L89" s="194"/>
      <c r="M89" s="195"/>
      <c r="N89" s="194"/>
      <c r="O89" s="194"/>
      <c r="P89" s="194"/>
      <c r="Q89" s="194"/>
      <c r="R89" s="194"/>
    </row>
    <row r="90" spans="1:21" x14ac:dyDescent="0.2">
      <c r="A90" s="206"/>
      <c r="B90" s="182" t="s">
        <v>11</v>
      </c>
      <c r="C90" s="189">
        <v>50</v>
      </c>
      <c r="D90" s="190">
        <f>3.04*1.25</f>
        <v>3.8</v>
      </c>
      <c r="E90" s="190">
        <f>0.32*1.25</f>
        <v>0.4</v>
      </c>
      <c r="F90" s="190">
        <f>19.68*1.25</f>
        <v>24.6</v>
      </c>
      <c r="G90" s="190">
        <f>98.34*1.25</f>
        <v>122.92500000000001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</row>
    <row r="91" spans="1:21" x14ac:dyDescent="0.2">
      <c r="A91" s="262" t="s">
        <v>252</v>
      </c>
      <c r="B91" s="263"/>
      <c r="C91" s="207">
        <f>SUM(C87:C90)</f>
        <v>553</v>
      </c>
      <c r="D91" s="192"/>
      <c r="E91" s="192"/>
      <c r="F91" s="192"/>
      <c r="G91" s="192"/>
    </row>
    <row r="92" spans="1:21" x14ac:dyDescent="0.2">
      <c r="A92" s="196"/>
      <c r="B92" s="230" t="s">
        <v>67</v>
      </c>
      <c r="C92" s="207"/>
      <c r="D92" s="217">
        <f>D93+D94+D95+D96+D97</f>
        <v>30.630700000000001</v>
      </c>
      <c r="E92" s="217">
        <f>E93+E94+E95+E96+E97</f>
        <v>48.949000000000005</v>
      </c>
      <c r="F92" s="217">
        <f>F93+F94+F95+F96+F97</f>
        <v>103.83109999999999</v>
      </c>
      <c r="G92" s="217">
        <f>G93+G94+G95+G96+G97</f>
        <v>1006.74974</v>
      </c>
    </row>
    <row r="93" spans="1:21" ht="16.5" customHeight="1" x14ac:dyDescent="0.2">
      <c r="A93" s="189" t="s">
        <v>82</v>
      </c>
      <c r="B93" s="182" t="s">
        <v>83</v>
      </c>
      <c r="C93" s="189">
        <v>100</v>
      </c>
      <c r="D93" s="190">
        <f>1.21*1.67</f>
        <v>2.0206999999999997</v>
      </c>
      <c r="E93" s="190">
        <f>6.2*1.67</f>
        <v>10.353999999999999</v>
      </c>
      <c r="F93" s="190">
        <f>12.33*1.67</f>
        <v>20.591100000000001</v>
      </c>
      <c r="G93" s="190">
        <f>113*1.67</f>
        <v>188.70999999999998</v>
      </c>
      <c r="H93" s="209"/>
      <c r="I93" s="212"/>
      <c r="J93" s="197"/>
      <c r="K93" s="197"/>
      <c r="L93" s="197"/>
      <c r="M93" s="197"/>
      <c r="N93" s="197"/>
      <c r="O93" s="194"/>
      <c r="P93" s="194"/>
      <c r="Q93" s="194"/>
      <c r="R93" s="194"/>
      <c r="S93" s="194"/>
      <c r="T93" s="194"/>
      <c r="U93" s="194"/>
    </row>
    <row r="94" spans="1:21" ht="28.5" customHeight="1" x14ac:dyDescent="0.2">
      <c r="A94" s="189" t="s">
        <v>124</v>
      </c>
      <c r="B94" s="182" t="s">
        <v>156</v>
      </c>
      <c r="C94" s="189">
        <v>255</v>
      </c>
      <c r="D94" s="190">
        <f>3.96*1.25</f>
        <v>4.95</v>
      </c>
      <c r="E94" s="190">
        <f>4.86*1.25</f>
        <v>6.0750000000000002</v>
      </c>
      <c r="F94" s="190">
        <f>17.01*1.25</f>
        <v>21.262500000000003</v>
      </c>
      <c r="G94" s="190">
        <f>131.81*1.254</f>
        <v>165.28973999999999</v>
      </c>
      <c r="H94" s="225"/>
      <c r="I94" s="215"/>
      <c r="J94" s="184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4"/>
    </row>
    <row r="95" spans="1:21" x14ac:dyDescent="0.2">
      <c r="A95" s="189" t="s">
        <v>234</v>
      </c>
      <c r="B95" s="182" t="s">
        <v>157</v>
      </c>
      <c r="C95" s="189">
        <v>250</v>
      </c>
      <c r="D95" s="190">
        <f>16.48*1.25</f>
        <v>20.6</v>
      </c>
      <c r="E95" s="190">
        <f>25.76*1.25</f>
        <v>32.200000000000003</v>
      </c>
      <c r="F95" s="190">
        <f>10.39*1.25</f>
        <v>12.987500000000001</v>
      </c>
      <c r="G95" s="190">
        <f>345*1.25</f>
        <v>431.25</v>
      </c>
    </row>
    <row r="96" spans="1:21" ht="25.5" x14ac:dyDescent="0.2">
      <c r="A96" s="196" t="s">
        <v>40</v>
      </c>
      <c r="B96" s="182" t="s">
        <v>225</v>
      </c>
      <c r="C96" s="189">
        <v>200</v>
      </c>
      <c r="D96" s="190">
        <v>0.02</v>
      </c>
      <c r="E96" s="190"/>
      <c r="F96" s="190">
        <v>29.31</v>
      </c>
      <c r="G96" s="190">
        <v>123.16</v>
      </c>
      <c r="H96" s="197"/>
      <c r="I96" s="197"/>
      <c r="J96" s="197"/>
      <c r="K96" s="197"/>
      <c r="L96" s="197"/>
      <c r="M96" s="197"/>
      <c r="N96" s="184"/>
      <c r="O96" s="197"/>
      <c r="P96" s="197"/>
      <c r="Q96" s="197"/>
      <c r="R96" s="197"/>
      <c r="S96" s="197"/>
    </row>
    <row r="97" spans="1:25" x14ac:dyDescent="0.2">
      <c r="A97" s="189"/>
      <c r="B97" s="191" t="s">
        <v>11</v>
      </c>
      <c r="C97" s="196">
        <v>40</v>
      </c>
      <c r="D97" s="192">
        <v>3.04</v>
      </c>
      <c r="E97" s="192">
        <v>0.32</v>
      </c>
      <c r="F97" s="192">
        <v>19.68</v>
      </c>
      <c r="G97" s="192">
        <v>98.34</v>
      </c>
    </row>
    <row r="98" spans="1:25" x14ac:dyDescent="0.2">
      <c r="A98" s="262" t="s">
        <v>252</v>
      </c>
      <c r="B98" s="263"/>
      <c r="C98" s="187">
        <f>SUM(C93:C97)</f>
        <v>845</v>
      </c>
      <c r="D98" s="190"/>
      <c r="E98" s="190"/>
      <c r="F98" s="190"/>
      <c r="G98" s="190"/>
    </row>
    <row r="99" spans="1:25" ht="27.95" customHeight="1" x14ac:dyDescent="0.2">
      <c r="A99" s="266" t="s">
        <v>64</v>
      </c>
      <c r="B99" s="266"/>
      <c r="C99" s="266"/>
      <c r="D99" s="186">
        <f t="shared" ref="D99:F99" si="10">D100+D106</f>
        <v>41.138800000000003</v>
      </c>
      <c r="E99" s="186">
        <f t="shared" si="10"/>
        <v>49.922899999999998</v>
      </c>
      <c r="F99" s="186">
        <f t="shared" si="10"/>
        <v>230.3031</v>
      </c>
      <c r="G99" s="186">
        <f>G100+G106</f>
        <v>1615.1859999999999</v>
      </c>
    </row>
    <row r="100" spans="1:25" x14ac:dyDescent="0.2">
      <c r="A100" s="187"/>
      <c r="B100" s="188" t="s">
        <v>66</v>
      </c>
      <c r="C100" s="187"/>
      <c r="D100" s="186">
        <f>D101+D102+D103+D104</f>
        <v>19.169699999999999</v>
      </c>
      <c r="E100" s="186">
        <f>E101+E102+E103+E104</f>
        <v>11.3893</v>
      </c>
      <c r="F100" s="186">
        <f>F101+F102+F103+F104</f>
        <v>141.0103</v>
      </c>
      <c r="G100" s="186">
        <f>G101+G102+G103+G104</f>
        <v>776.03099999999995</v>
      </c>
    </row>
    <row r="101" spans="1:25" ht="26.25" customHeight="1" x14ac:dyDescent="0.2">
      <c r="A101" s="189" t="s">
        <v>180</v>
      </c>
      <c r="B101" s="182" t="s">
        <v>209</v>
      </c>
      <c r="C101" s="189">
        <v>203</v>
      </c>
      <c r="D101" s="190">
        <v>7.16</v>
      </c>
      <c r="E101" s="190">
        <v>4.66</v>
      </c>
      <c r="F101" s="190">
        <v>40.520000000000003</v>
      </c>
      <c r="G101" s="190">
        <v>242.96</v>
      </c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</row>
    <row r="102" spans="1:25" ht="13.5" customHeight="1" x14ac:dyDescent="0.2">
      <c r="A102" s="196" t="s">
        <v>199</v>
      </c>
      <c r="B102" s="182" t="s">
        <v>196</v>
      </c>
      <c r="C102" s="189">
        <v>100</v>
      </c>
      <c r="D102" s="190">
        <f>4.91*1.67</f>
        <v>8.1997</v>
      </c>
      <c r="E102" s="190">
        <f>3.79*1.67</f>
        <v>6.3292999999999999</v>
      </c>
      <c r="F102" s="190">
        <f>36.09*1.67</f>
        <v>60.270300000000006</v>
      </c>
      <c r="G102" s="190">
        <v>344.5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</row>
    <row r="103" spans="1:25" ht="14.25" customHeight="1" x14ac:dyDescent="0.2">
      <c r="A103" s="196" t="s">
        <v>231</v>
      </c>
      <c r="B103" s="182" t="s">
        <v>160</v>
      </c>
      <c r="C103" s="189">
        <v>200</v>
      </c>
      <c r="D103" s="190">
        <v>0.01</v>
      </c>
      <c r="E103" s="190"/>
      <c r="F103" s="190">
        <v>15.62</v>
      </c>
      <c r="G103" s="190">
        <v>65.646000000000001</v>
      </c>
      <c r="H103" s="197"/>
      <c r="I103" s="184"/>
      <c r="J103" s="197"/>
      <c r="K103" s="197"/>
      <c r="L103" s="184"/>
      <c r="M103" s="197"/>
      <c r="N103" s="197"/>
      <c r="O103" s="184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</row>
    <row r="104" spans="1:25" ht="14.25" customHeight="1" x14ac:dyDescent="0.2">
      <c r="A104" s="189"/>
      <c r="B104" s="182" t="s">
        <v>11</v>
      </c>
      <c r="C104" s="189">
        <v>50</v>
      </c>
      <c r="D104" s="190">
        <f>3.04*1.25</f>
        <v>3.8</v>
      </c>
      <c r="E104" s="190">
        <f>0.32*1.25</f>
        <v>0.4</v>
      </c>
      <c r="F104" s="190">
        <f>19.68*1.25</f>
        <v>24.6</v>
      </c>
      <c r="G104" s="190">
        <f>98.34*1.25</f>
        <v>122.92500000000001</v>
      </c>
      <c r="H104" s="197"/>
      <c r="I104" s="198"/>
      <c r="J104" s="197"/>
      <c r="K104" s="197"/>
      <c r="L104" s="198"/>
      <c r="M104" s="184"/>
      <c r="N104" s="184"/>
      <c r="O104" s="184"/>
      <c r="P104" s="184"/>
      <c r="Q104" s="184"/>
      <c r="R104" s="184"/>
      <c r="S104" s="184"/>
      <c r="T104" s="184"/>
      <c r="U104" s="184"/>
      <c r="V104" s="197"/>
      <c r="W104" s="184"/>
      <c r="X104" s="184"/>
      <c r="Y104" s="198"/>
    </row>
    <row r="105" spans="1:25" ht="18.75" customHeight="1" x14ac:dyDescent="0.2">
      <c r="A105" s="262" t="s">
        <v>252</v>
      </c>
      <c r="B105" s="263"/>
      <c r="C105" s="207">
        <f>SUM(C101:C104)</f>
        <v>553</v>
      </c>
      <c r="D105" s="192"/>
      <c r="E105" s="192"/>
      <c r="F105" s="192"/>
      <c r="G105" s="192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</row>
    <row r="106" spans="1:25" ht="17.25" customHeight="1" x14ac:dyDescent="0.2">
      <c r="A106" s="189"/>
      <c r="B106" s="230" t="s">
        <v>67</v>
      </c>
      <c r="C106" s="207"/>
      <c r="D106" s="217">
        <f>D107+D108+D109+D110+D111+D112</f>
        <v>21.969100000000001</v>
      </c>
      <c r="E106" s="217">
        <f>E107+E108+E109+E110+E111+E112</f>
        <v>38.5336</v>
      </c>
      <c r="F106" s="217">
        <f>F107+F108+F109+F110+F111+F112</f>
        <v>89.2928</v>
      </c>
      <c r="G106" s="217">
        <f>G107+G108+G109+G110+G111+G112</f>
        <v>839.15499999999997</v>
      </c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</row>
    <row r="107" spans="1:25" ht="15" customHeight="1" x14ac:dyDescent="0.2">
      <c r="A107" s="189" t="s">
        <v>192</v>
      </c>
      <c r="B107" s="182" t="s">
        <v>137</v>
      </c>
      <c r="C107" s="189">
        <v>100</v>
      </c>
      <c r="D107" s="190">
        <f>0.94*1.66</f>
        <v>1.5603999999999998</v>
      </c>
      <c r="E107" s="190">
        <f>4.06*1.66</f>
        <v>6.7395999999999994</v>
      </c>
      <c r="F107" s="190">
        <f>5.96*1.66</f>
        <v>9.8935999999999993</v>
      </c>
      <c r="G107" s="190">
        <v>108.76</v>
      </c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</row>
    <row r="108" spans="1:25" ht="24" customHeight="1" x14ac:dyDescent="0.2">
      <c r="A108" s="196" t="s">
        <v>187</v>
      </c>
      <c r="B108" s="182" t="s">
        <v>161</v>
      </c>
      <c r="C108" s="189">
        <v>260</v>
      </c>
      <c r="D108" s="190">
        <f>4.65*1.25</f>
        <v>5.8125</v>
      </c>
      <c r="E108" s="190">
        <f>6.92*1.25</f>
        <v>8.65</v>
      </c>
      <c r="F108" s="190">
        <f>12.49*1.25</f>
        <v>15.612500000000001</v>
      </c>
      <c r="G108" s="190">
        <f>134.268*1.25</f>
        <v>167.83500000000001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</row>
    <row r="109" spans="1:25" ht="14.25" customHeight="1" x14ac:dyDescent="0.2">
      <c r="A109" s="196" t="s">
        <v>235</v>
      </c>
      <c r="B109" s="182" t="s">
        <v>202</v>
      </c>
      <c r="C109" s="221">
        <v>100</v>
      </c>
      <c r="D109" s="190">
        <v>9.6300000000000008</v>
      </c>
      <c r="E109" s="190">
        <v>12.61</v>
      </c>
      <c r="F109" s="190">
        <v>8.51</v>
      </c>
      <c r="G109" s="190">
        <v>189.68</v>
      </c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</row>
    <row r="110" spans="1:25" ht="14.25" customHeight="1" x14ac:dyDescent="0.2">
      <c r="A110" s="189" t="s">
        <v>34</v>
      </c>
      <c r="B110" s="182" t="s">
        <v>32</v>
      </c>
      <c r="C110" s="189">
        <v>200</v>
      </c>
      <c r="D110" s="190">
        <v>3.26</v>
      </c>
      <c r="E110" s="190">
        <f>7.8*1.33</f>
        <v>10.374000000000001</v>
      </c>
      <c r="F110" s="190">
        <f>21.99*1.33</f>
        <v>29.246700000000001</v>
      </c>
      <c r="G110" s="190">
        <v>234.48</v>
      </c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</row>
    <row r="111" spans="1:25" ht="15.75" customHeight="1" x14ac:dyDescent="0.2">
      <c r="A111" s="189" t="s">
        <v>194</v>
      </c>
      <c r="B111" s="182" t="s">
        <v>90</v>
      </c>
      <c r="C111" s="189">
        <v>200</v>
      </c>
      <c r="D111" s="190">
        <f>0.14*1.33</f>
        <v>0.18620000000000003</v>
      </c>
      <c r="E111" s="190"/>
      <c r="F111" s="190">
        <v>16.190000000000001</v>
      </c>
      <c r="G111" s="190">
        <v>89.23</v>
      </c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</row>
    <row r="112" spans="1:25" ht="13.5" customHeight="1" x14ac:dyDescent="0.2">
      <c r="A112" s="206"/>
      <c r="B112" s="182" t="s">
        <v>11</v>
      </c>
      <c r="C112" s="189">
        <v>20</v>
      </c>
      <c r="D112" s="190">
        <v>1.52</v>
      </c>
      <c r="E112" s="190">
        <v>0.16</v>
      </c>
      <c r="F112" s="190">
        <v>9.84</v>
      </c>
      <c r="G112" s="190">
        <v>49.17</v>
      </c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</row>
    <row r="113" spans="1:25" x14ac:dyDescent="0.2">
      <c r="A113" s="262" t="s">
        <v>252</v>
      </c>
      <c r="B113" s="263"/>
      <c r="C113" s="208">
        <f>SUM(C107:C112)</f>
        <v>880</v>
      </c>
      <c r="D113" s="190"/>
      <c r="E113" s="190"/>
      <c r="F113" s="190"/>
      <c r="G113" s="190"/>
      <c r="H113" s="197"/>
      <c r="I113" s="198"/>
      <c r="J113" s="197"/>
      <c r="K113" s="197"/>
      <c r="L113" s="198"/>
      <c r="M113" s="184"/>
      <c r="N113" s="184"/>
      <c r="O113" s="184"/>
      <c r="P113" s="184"/>
      <c r="Q113" s="184"/>
      <c r="R113" s="184"/>
      <c r="S113" s="184"/>
      <c r="T113" s="184"/>
      <c r="U113" s="184"/>
      <c r="V113" s="197"/>
      <c r="W113" s="184"/>
      <c r="X113" s="184"/>
      <c r="Y113" s="198"/>
    </row>
    <row r="114" spans="1:25" ht="27.95" customHeight="1" x14ac:dyDescent="0.2">
      <c r="A114" s="272" t="s">
        <v>249</v>
      </c>
      <c r="B114" s="273"/>
      <c r="C114" s="274"/>
      <c r="D114" s="186">
        <f t="shared" ref="D114:F114" si="11">D115+D121</f>
        <v>45.373040000000003</v>
      </c>
      <c r="E114" s="186">
        <f t="shared" si="11"/>
        <v>73.211160000000007</v>
      </c>
      <c r="F114" s="186">
        <f t="shared" si="11"/>
        <v>205.21928000000003</v>
      </c>
      <c r="G114" s="186">
        <f>G115+G121</f>
        <v>1712.4434999999999</v>
      </c>
    </row>
    <row r="115" spans="1:25" x14ac:dyDescent="0.2">
      <c r="A115" s="187"/>
      <c r="B115" s="188" t="s">
        <v>66</v>
      </c>
      <c r="C115" s="187"/>
      <c r="D115" s="186">
        <f>D116+D117+D118+D119</f>
        <v>15.142499999999998</v>
      </c>
      <c r="E115" s="186">
        <f>E116+E117+E118+E119</f>
        <v>24.3675</v>
      </c>
      <c r="F115" s="186">
        <f>F116+F117+F118+F119</f>
        <v>109.01750000000001</v>
      </c>
      <c r="G115" s="186">
        <f>G116+G117+G118+G119</f>
        <v>740.82</v>
      </c>
    </row>
    <row r="116" spans="1:25" ht="25.5" x14ac:dyDescent="0.2">
      <c r="A116" s="189" t="s">
        <v>180</v>
      </c>
      <c r="B116" s="182" t="s">
        <v>206</v>
      </c>
      <c r="C116" s="189">
        <v>253</v>
      </c>
      <c r="D116" s="190">
        <f>7.81*1.25</f>
        <v>9.7624999999999993</v>
      </c>
      <c r="E116" s="190">
        <f>4.55*1.25</f>
        <v>5.6875</v>
      </c>
      <c r="F116" s="190">
        <f>33.47*1.25</f>
        <v>41.837499999999999</v>
      </c>
      <c r="G116" s="190">
        <v>267.91000000000003</v>
      </c>
    </row>
    <row r="117" spans="1:25" x14ac:dyDescent="0.2">
      <c r="A117" s="189"/>
      <c r="B117" s="182" t="s">
        <v>201</v>
      </c>
      <c r="C117" s="221">
        <v>60</v>
      </c>
      <c r="D117" s="190">
        <v>2.34</v>
      </c>
      <c r="E117" s="190">
        <v>18.36</v>
      </c>
      <c r="F117" s="190">
        <v>37.5</v>
      </c>
      <c r="G117" s="190">
        <v>332.57</v>
      </c>
    </row>
    <row r="118" spans="1:25" x14ac:dyDescent="0.2">
      <c r="A118" s="189" t="s">
        <v>182</v>
      </c>
      <c r="B118" s="182" t="s">
        <v>10</v>
      </c>
      <c r="C118" s="221">
        <v>200</v>
      </c>
      <c r="D118" s="190">
        <v>0</v>
      </c>
      <c r="E118" s="190">
        <v>0</v>
      </c>
      <c r="F118" s="190">
        <v>10</v>
      </c>
      <c r="G118" s="190">
        <v>42</v>
      </c>
    </row>
    <row r="119" spans="1:25" x14ac:dyDescent="0.2">
      <c r="A119" s="196"/>
      <c r="B119" s="191" t="s">
        <v>11</v>
      </c>
      <c r="C119" s="228">
        <v>40</v>
      </c>
      <c r="D119" s="192">
        <v>3.04</v>
      </c>
      <c r="E119" s="192">
        <v>0.32</v>
      </c>
      <c r="F119" s="192">
        <v>19.68</v>
      </c>
      <c r="G119" s="192">
        <v>98.34</v>
      </c>
    </row>
    <row r="120" spans="1:25" x14ac:dyDescent="0.2">
      <c r="A120" s="262" t="s">
        <v>252</v>
      </c>
      <c r="B120" s="263"/>
      <c r="C120" s="229">
        <f>SUM(C116:C119)</f>
        <v>553</v>
      </c>
      <c r="D120" s="190"/>
      <c r="E120" s="190"/>
      <c r="F120" s="190"/>
      <c r="G120" s="190"/>
    </row>
    <row r="121" spans="1:25" x14ac:dyDescent="0.2">
      <c r="A121" s="206"/>
      <c r="B121" s="230" t="s">
        <v>67</v>
      </c>
      <c r="C121" s="224"/>
      <c r="D121" s="186">
        <f>D122+D123+D124+D125+D126+D127</f>
        <v>30.230540000000001</v>
      </c>
      <c r="E121" s="186">
        <f t="shared" ref="E121:F121" si="12">E122+E123+E124+E125+E126+E127</f>
        <v>48.84366</v>
      </c>
      <c r="F121" s="186">
        <f t="shared" si="12"/>
        <v>96.201780000000014</v>
      </c>
      <c r="G121" s="186">
        <f>G122+G123+G124+G125+G126+G127</f>
        <v>971.62349999999992</v>
      </c>
    </row>
    <row r="122" spans="1:25" x14ac:dyDescent="0.2">
      <c r="A122" s="189" t="s">
        <v>68</v>
      </c>
      <c r="B122" s="182" t="s">
        <v>69</v>
      </c>
      <c r="C122" s="189">
        <v>100</v>
      </c>
      <c r="D122" s="190">
        <f>0.84*1.666</f>
        <v>1.3994399999999998</v>
      </c>
      <c r="E122" s="190">
        <f>3.06*1.666</f>
        <v>5.0979599999999996</v>
      </c>
      <c r="F122" s="190">
        <f>6.83*1.666</f>
        <v>11.378779999999999</v>
      </c>
      <c r="G122" s="190">
        <f>59.75*1.666</f>
        <v>99.543499999999995</v>
      </c>
    </row>
    <row r="123" spans="1:25" ht="25.5" x14ac:dyDescent="0.2">
      <c r="A123" s="189" t="s">
        <v>130</v>
      </c>
      <c r="B123" s="182" t="s">
        <v>165</v>
      </c>
      <c r="C123" s="189">
        <v>260</v>
      </c>
      <c r="D123" s="190">
        <f>7.49*1.25</f>
        <v>9.3625000000000007</v>
      </c>
      <c r="E123" s="190">
        <f>(10.16+12.36)*1.25</f>
        <v>28.15</v>
      </c>
      <c r="F123" s="190">
        <f>(4.87+8.96)*1.25</f>
        <v>17.287500000000001</v>
      </c>
      <c r="G123" s="190">
        <v>365.28</v>
      </c>
    </row>
    <row r="124" spans="1:25" x14ac:dyDescent="0.2">
      <c r="A124" s="189" t="s">
        <v>131</v>
      </c>
      <c r="B124" s="182" t="s">
        <v>146</v>
      </c>
      <c r="C124" s="189">
        <v>100</v>
      </c>
      <c r="D124" s="190">
        <f>11.84*1.11</f>
        <v>13.1424</v>
      </c>
      <c r="E124" s="190">
        <f>10.06*1.11</f>
        <v>11.166600000000001</v>
      </c>
      <c r="F124" s="190">
        <f>16.03*1.11</f>
        <v>17.793300000000002</v>
      </c>
      <c r="G124" s="190">
        <f>208*1.11</f>
        <v>230.88000000000002</v>
      </c>
    </row>
    <row r="125" spans="1:25" x14ac:dyDescent="0.2">
      <c r="A125" s="189" t="s">
        <v>166</v>
      </c>
      <c r="B125" s="182" t="s">
        <v>167</v>
      </c>
      <c r="C125" s="189">
        <v>200</v>
      </c>
      <c r="D125" s="190">
        <f>3.14*1.33</f>
        <v>4.1762000000000006</v>
      </c>
      <c r="E125" s="190">
        <f>3.27*1.33</f>
        <v>4.3491</v>
      </c>
      <c r="F125" s="190">
        <f>22.34*1.33</f>
        <v>29.712200000000003</v>
      </c>
      <c r="G125" s="190">
        <v>182</v>
      </c>
    </row>
    <row r="126" spans="1:25" x14ac:dyDescent="0.2">
      <c r="A126" s="196" t="s">
        <v>42</v>
      </c>
      <c r="B126" s="182" t="s">
        <v>223</v>
      </c>
      <c r="C126" s="189">
        <v>200</v>
      </c>
      <c r="D126" s="190">
        <f>1.15</f>
        <v>1.1499999999999999</v>
      </c>
      <c r="E126" s="190"/>
      <c r="F126" s="190">
        <v>12.03</v>
      </c>
      <c r="G126" s="190">
        <v>55.4</v>
      </c>
    </row>
    <row r="127" spans="1:25" x14ac:dyDescent="0.2">
      <c r="A127" s="206"/>
      <c r="B127" s="182" t="s">
        <v>37</v>
      </c>
      <c r="C127" s="189">
        <v>20</v>
      </c>
      <c r="D127" s="190">
        <v>1</v>
      </c>
      <c r="E127" s="190">
        <v>0.08</v>
      </c>
      <c r="F127" s="190">
        <v>8</v>
      </c>
      <c r="G127" s="190">
        <v>38.520000000000003</v>
      </c>
    </row>
    <row r="128" spans="1:25" x14ac:dyDescent="0.2">
      <c r="A128" s="262" t="s">
        <v>252</v>
      </c>
      <c r="B128" s="263"/>
      <c r="C128" s="187">
        <f>SUM(C122:C127)</f>
        <v>880</v>
      </c>
      <c r="D128" s="190"/>
      <c r="E128" s="190"/>
      <c r="F128" s="190"/>
      <c r="G128" s="190"/>
    </row>
    <row r="129" spans="1:7" ht="27.95" customHeight="1" x14ac:dyDescent="0.2">
      <c r="A129" s="272" t="s">
        <v>250</v>
      </c>
      <c r="B129" s="273"/>
      <c r="C129" s="274"/>
      <c r="D129" s="186">
        <f>D130+D137</f>
        <v>59.675999999999995</v>
      </c>
      <c r="E129" s="186">
        <f t="shared" ref="E129:F129" si="13">E130+E137</f>
        <v>35.656500000000001</v>
      </c>
      <c r="F129" s="186">
        <f t="shared" si="13"/>
        <v>219.02690000000001</v>
      </c>
      <c r="G129" s="186">
        <f>G130+G137</f>
        <v>1491.2724399999997</v>
      </c>
    </row>
    <row r="130" spans="1:7" x14ac:dyDescent="0.2">
      <c r="A130" s="187"/>
      <c r="B130" s="188" t="s">
        <v>66</v>
      </c>
      <c r="C130" s="187"/>
      <c r="D130" s="186">
        <f>D131+D132+D133+D134+D135</f>
        <v>35.653599999999997</v>
      </c>
      <c r="E130" s="186">
        <f t="shared" ref="E130" si="14">E131+E132+E133+E134+E135</f>
        <v>14.3833</v>
      </c>
      <c r="F130" s="186">
        <f>F131+F132+F133+F134+F135</f>
        <v>83.43</v>
      </c>
      <c r="G130" s="186">
        <f>G131+G132+G133+G134+G135</f>
        <v>629.6869999999999</v>
      </c>
    </row>
    <row r="131" spans="1:7" ht="15" customHeight="1" x14ac:dyDescent="0.2">
      <c r="A131" s="189"/>
      <c r="B131" s="182" t="s">
        <v>168</v>
      </c>
      <c r="C131" s="189">
        <v>40</v>
      </c>
      <c r="D131" s="190">
        <v>5.08</v>
      </c>
      <c r="E131" s="190">
        <v>4.5999999999999996</v>
      </c>
      <c r="F131" s="190">
        <v>0.28000000000000003</v>
      </c>
      <c r="G131" s="190">
        <v>63.911999999999999</v>
      </c>
    </row>
    <row r="132" spans="1:7" ht="25.5" x14ac:dyDescent="0.2">
      <c r="A132" s="189" t="s">
        <v>39</v>
      </c>
      <c r="B132" s="211" t="s">
        <v>264</v>
      </c>
      <c r="C132" s="199">
        <v>160</v>
      </c>
      <c r="D132" s="200">
        <f>18.92*1.33+0.06</f>
        <v>25.223600000000001</v>
      </c>
      <c r="E132" s="200">
        <f>7.01*1.33+0.06</f>
        <v>9.3833000000000002</v>
      </c>
      <c r="F132" s="200">
        <f>15*1.33+16.77</f>
        <v>36.72</v>
      </c>
      <c r="G132" s="200">
        <v>344.61</v>
      </c>
    </row>
    <row r="133" spans="1:7" x14ac:dyDescent="0.2">
      <c r="A133" s="189"/>
      <c r="B133" s="182" t="s">
        <v>41</v>
      </c>
      <c r="C133" s="189">
        <v>100</v>
      </c>
      <c r="D133" s="190">
        <v>0.4</v>
      </c>
      <c r="E133" s="190">
        <v>0</v>
      </c>
      <c r="F133" s="190">
        <v>9.8000000000000007</v>
      </c>
      <c r="G133" s="190">
        <v>42.84</v>
      </c>
    </row>
    <row r="134" spans="1:7" ht="16.5" customHeight="1" x14ac:dyDescent="0.2">
      <c r="A134" s="189" t="s">
        <v>42</v>
      </c>
      <c r="B134" s="182" t="s">
        <v>223</v>
      </c>
      <c r="C134" s="189">
        <v>200</v>
      </c>
      <c r="D134" s="190">
        <v>1.1499999999999999</v>
      </c>
      <c r="E134" s="190"/>
      <c r="F134" s="190">
        <v>12.03</v>
      </c>
      <c r="G134" s="190">
        <v>55.4</v>
      </c>
    </row>
    <row r="135" spans="1:7" x14ac:dyDescent="0.2">
      <c r="A135" s="196"/>
      <c r="B135" s="182" t="s">
        <v>11</v>
      </c>
      <c r="C135" s="189">
        <v>50</v>
      </c>
      <c r="D135" s="190">
        <f>3.04*1.25</f>
        <v>3.8</v>
      </c>
      <c r="E135" s="190">
        <f>0.32*1.25</f>
        <v>0.4</v>
      </c>
      <c r="F135" s="190">
        <f>19.68*1.25</f>
        <v>24.6</v>
      </c>
      <c r="G135" s="190">
        <f>98.34*1.25</f>
        <v>122.92500000000001</v>
      </c>
    </row>
    <row r="136" spans="1:7" x14ac:dyDescent="0.2">
      <c r="A136" s="262" t="s">
        <v>252</v>
      </c>
      <c r="B136" s="263"/>
      <c r="C136" s="187">
        <f>SUM(C131:C135)</f>
        <v>550</v>
      </c>
      <c r="D136" s="190"/>
      <c r="E136" s="190"/>
      <c r="F136" s="190"/>
      <c r="G136" s="190"/>
    </row>
    <row r="137" spans="1:7" ht="18.75" customHeight="1" x14ac:dyDescent="0.2">
      <c r="A137" s="189"/>
      <c r="B137" s="230" t="s">
        <v>67</v>
      </c>
      <c r="C137" s="187"/>
      <c r="D137" s="186">
        <f>D138+D139+D140+D141+D142+D143</f>
        <v>24.022399999999998</v>
      </c>
      <c r="E137" s="186">
        <f t="shared" ref="E137:F137" si="15">E138+E139+E140+E141+E142+E143</f>
        <v>21.273199999999999</v>
      </c>
      <c r="F137" s="186">
        <f t="shared" si="15"/>
        <v>135.59690000000001</v>
      </c>
      <c r="G137" s="186">
        <f>G138+G139+G140+G141+G142+G143</f>
        <v>861.58543999999995</v>
      </c>
    </row>
    <row r="138" spans="1:7" x14ac:dyDescent="0.2">
      <c r="A138" s="206" t="s">
        <v>193</v>
      </c>
      <c r="B138" s="182" t="s">
        <v>148</v>
      </c>
      <c r="C138" s="189">
        <v>100</v>
      </c>
      <c r="D138" s="190">
        <f>0.74*1.66</f>
        <v>1.2283999999999999</v>
      </c>
      <c r="E138" s="190">
        <f>0.06*1.67</f>
        <v>0.1002</v>
      </c>
      <c r="F138" s="190">
        <f>16.92*1.67</f>
        <v>28.256400000000003</v>
      </c>
      <c r="G138" s="190">
        <f>74.71*1.67</f>
        <v>124.76569999999998</v>
      </c>
    </row>
    <row r="139" spans="1:7" ht="25.5" x14ac:dyDescent="0.2">
      <c r="A139" s="189" t="s">
        <v>124</v>
      </c>
      <c r="B139" s="182" t="s">
        <v>156</v>
      </c>
      <c r="C139" s="189">
        <v>255</v>
      </c>
      <c r="D139" s="190">
        <f>3.96*1.25</f>
        <v>4.95</v>
      </c>
      <c r="E139" s="190">
        <f>4.86*1.25</f>
        <v>6.0750000000000002</v>
      </c>
      <c r="F139" s="190">
        <f>17.01*1.25</f>
        <v>21.262500000000003</v>
      </c>
      <c r="G139" s="190">
        <f>131.81*1.254</f>
        <v>165.28973999999999</v>
      </c>
    </row>
    <row r="140" spans="1:7" x14ac:dyDescent="0.2">
      <c r="A140" s="189" t="s">
        <v>226</v>
      </c>
      <c r="B140" s="182" t="s">
        <v>140</v>
      </c>
      <c r="C140" s="189">
        <v>115</v>
      </c>
      <c r="D140" s="190">
        <v>6.32</v>
      </c>
      <c r="E140" s="190">
        <v>8.7899999999999991</v>
      </c>
      <c r="F140" s="190">
        <v>19.37</v>
      </c>
      <c r="G140" s="190">
        <v>187.01</v>
      </c>
    </row>
    <row r="141" spans="1:7" x14ac:dyDescent="0.2">
      <c r="A141" s="196" t="s">
        <v>38</v>
      </c>
      <c r="B141" s="182" t="s">
        <v>36</v>
      </c>
      <c r="C141" s="189">
        <v>180</v>
      </c>
      <c r="D141" s="190">
        <f>8.77*1.2</f>
        <v>10.523999999999999</v>
      </c>
      <c r="E141" s="190">
        <f>5.19*1.2</f>
        <v>6.2280000000000006</v>
      </c>
      <c r="F141" s="190">
        <f>39.6*1.23</f>
        <v>48.707999999999998</v>
      </c>
      <c r="G141" s="190">
        <v>304</v>
      </c>
    </row>
    <row r="142" spans="1:7" x14ac:dyDescent="0.2">
      <c r="A142" s="189" t="s">
        <v>182</v>
      </c>
      <c r="B142" s="182" t="s">
        <v>10</v>
      </c>
      <c r="C142" s="189">
        <v>200</v>
      </c>
      <c r="D142" s="190">
        <v>0</v>
      </c>
      <c r="E142" s="190">
        <v>0</v>
      </c>
      <c r="F142" s="190">
        <v>10</v>
      </c>
      <c r="G142" s="190">
        <v>42</v>
      </c>
    </row>
    <row r="143" spans="1:7" ht="12" customHeight="1" x14ac:dyDescent="0.2">
      <c r="A143" s="206"/>
      <c r="B143" s="182" t="s">
        <v>37</v>
      </c>
      <c r="C143" s="189">
        <v>20</v>
      </c>
      <c r="D143" s="190">
        <v>1</v>
      </c>
      <c r="E143" s="190">
        <v>0.08</v>
      </c>
      <c r="F143" s="190">
        <v>8</v>
      </c>
      <c r="G143" s="190">
        <v>38.520000000000003</v>
      </c>
    </row>
    <row r="144" spans="1:7" x14ac:dyDescent="0.2">
      <c r="A144" s="262" t="s">
        <v>252</v>
      </c>
      <c r="B144" s="263"/>
      <c r="C144" s="187">
        <f>SUM(C138:C143)</f>
        <v>870</v>
      </c>
      <c r="D144" s="190"/>
      <c r="E144" s="190"/>
      <c r="F144" s="190"/>
      <c r="G144" s="190"/>
    </row>
    <row r="145" spans="1:26" ht="27.95" customHeight="1" x14ac:dyDescent="0.2">
      <c r="A145" s="272" t="s">
        <v>251</v>
      </c>
      <c r="B145" s="273"/>
      <c r="C145" s="274"/>
      <c r="D145" s="186">
        <f>D146+D153</f>
        <v>50.881499999999996</v>
      </c>
      <c r="E145" s="186">
        <f t="shared" ref="E145:F145" si="16">E146+E153</f>
        <v>52.664999999999999</v>
      </c>
      <c r="F145" s="186">
        <f t="shared" si="16"/>
        <v>190.51076</v>
      </c>
      <c r="G145" s="186">
        <f>G146+G153</f>
        <v>1488.5909999999999</v>
      </c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2"/>
    </row>
    <row r="146" spans="1:26" x14ac:dyDescent="0.2">
      <c r="A146" s="187"/>
      <c r="B146" s="188" t="s">
        <v>66</v>
      </c>
      <c r="C146" s="187"/>
      <c r="D146" s="186">
        <f>D147+D148+D149+D150+D151</f>
        <v>26.381999999999998</v>
      </c>
      <c r="E146" s="186">
        <f>E147+E148+E149+E150+E151</f>
        <v>13.664000000000001</v>
      </c>
      <c r="F146" s="186">
        <f>F147+F148+F149+F150+F151</f>
        <v>87.740000000000009</v>
      </c>
      <c r="G146" s="186">
        <f>G147+G148+G149+G150+G151</f>
        <v>603.101</v>
      </c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2"/>
    </row>
    <row r="147" spans="1:26" x14ac:dyDescent="0.2">
      <c r="A147" s="189" t="s">
        <v>233</v>
      </c>
      <c r="B147" s="182" t="s">
        <v>170</v>
      </c>
      <c r="C147" s="189">
        <v>100</v>
      </c>
      <c r="D147" s="190">
        <v>17.829999999999998</v>
      </c>
      <c r="E147" s="190">
        <v>7.99</v>
      </c>
      <c r="F147" s="190">
        <v>4.25</v>
      </c>
      <c r="G147" s="190">
        <v>165</v>
      </c>
      <c r="H147" s="197"/>
      <c r="I147" s="197"/>
      <c r="J147" s="197"/>
      <c r="K147" s="197"/>
      <c r="L147" s="197"/>
      <c r="M147" s="197"/>
      <c r="N147" s="197"/>
      <c r="O147" s="184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</row>
    <row r="148" spans="1:26" x14ac:dyDescent="0.2">
      <c r="A148" s="196" t="s">
        <v>189</v>
      </c>
      <c r="B148" s="182" t="s">
        <v>159</v>
      </c>
      <c r="C148" s="189">
        <v>180</v>
      </c>
      <c r="D148" s="190">
        <f>3.81*1.2</f>
        <v>4.5720000000000001</v>
      </c>
      <c r="E148" s="190">
        <f>2.72*1.2</f>
        <v>3.2640000000000002</v>
      </c>
      <c r="F148" s="190">
        <f>40*1.2</f>
        <v>48</v>
      </c>
      <c r="G148" s="190">
        <f>208.48*1.2</f>
        <v>250.17599999999999</v>
      </c>
      <c r="H148" s="197"/>
      <c r="I148" s="197"/>
      <c r="J148" s="197"/>
      <c r="K148" s="197"/>
      <c r="L148" s="197"/>
      <c r="M148" s="184"/>
      <c r="N148" s="184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</row>
    <row r="149" spans="1:26" x14ac:dyDescent="0.2">
      <c r="A149" s="206" t="s">
        <v>191</v>
      </c>
      <c r="B149" s="182" t="s">
        <v>171</v>
      </c>
      <c r="C149" s="189">
        <v>20</v>
      </c>
      <c r="D149" s="190">
        <v>0.18</v>
      </c>
      <c r="E149" s="190">
        <v>2.0099999999999998</v>
      </c>
      <c r="F149" s="190">
        <v>0.89</v>
      </c>
      <c r="G149" s="190">
        <v>23</v>
      </c>
      <c r="H149" s="197"/>
      <c r="I149" s="184"/>
      <c r="J149" s="197"/>
      <c r="K149" s="197"/>
      <c r="L149" s="197"/>
      <c r="M149" s="197"/>
      <c r="N149" s="197"/>
      <c r="O149" s="184"/>
      <c r="P149" s="184"/>
      <c r="Q149" s="184"/>
      <c r="R149" s="184"/>
      <c r="S149" s="184"/>
      <c r="T149" s="184"/>
      <c r="U149" s="184"/>
      <c r="V149" s="197"/>
      <c r="W149" s="184"/>
      <c r="X149" s="184"/>
      <c r="Y149" s="197"/>
    </row>
    <row r="150" spans="1:26" x14ac:dyDescent="0.2">
      <c r="A150" s="189" t="s">
        <v>182</v>
      </c>
      <c r="B150" s="182" t="s">
        <v>10</v>
      </c>
      <c r="C150" s="206">
        <v>200</v>
      </c>
      <c r="D150" s="190">
        <v>0</v>
      </c>
      <c r="E150" s="190">
        <v>0</v>
      </c>
      <c r="F150" s="190">
        <v>10</v>
      </c>
      <c r="G150" s="190">
        <v>42</v>
      </c>
      <c r="H150" s="197"/>
      <c r="I150" s="184"/>
      <c r="J150" s="197"/>
      <c r="K150" s="197"/>
      <c r="L150" s="197"/>
      <c r="M150" s="197"/>
      <c r="N150" s="197"/>
      <c r="O150" s="184"/>
      <c r="P150" s="184"/>
      <c r="Q150" s="184"/>
      <c r="R150" s="184"/>
      <c r="S150" s="184"/>
      <c r="T150" s="184"/>
      <c r="U150" s="184"/>
      <c r="V150" s="197"/>
      <c r="W150" s="184"/>
      <c r="X150" s="184"/>
      <c r="Y150" s="197"/>
    </row>
    <row r="151" spans="1:26" x14ac:dyDescent="0.2">
      <c r="A151" s="196"/>
      <c r="B151" s="182" t="s">
        <v>11</v>
      </c>
      <c r="C151" s="189">
        <v>50</v>
      </c>
      <c r="D151" s="190">
        <f>3.04*1.25</f>
        <v>3.8</v>
      </c>
      <c r="E151" s="190">
        <f>0.32*1.25</f>
        <v>0.4</v>
      </c>
      <c r="F151" s="190">
        <f>19.68*1.25</f>
        <v>24.6</v>
      </c>
      <c r="G151" s="190">
        <f>98.34*1.25</f>
        <v>122.92500000000001</v>
      </c>
      <c r="H151" s="197"/>
      <c r="I151" s="198"/>
      <c r="J151" s="197"/>
      <c r="K151" s="197"/>
      <c r="L151" s="198"/>
      <c r="M151" s="184"/>
      <c r="N151" s="184"/>
      <c r="O151" s="184"/>
      <c r="P151" s="184"/>
      <c r="Q151" s="184"/>
      <c r="R151" s="184"/>
      <c r="S151" s="184"/>
      <c r="T151" s="184"/>
      <c r="U151" s="184"/>
      <c r="V151" s="197"/>
      <c r="W151" s="184"/>
      <c r="X151" s="184"/>
      <c r="Y151" s="198"/>
    </row>
    <row r="152" spans="1:26" x14ac:dyDescent="0.2">
      <c r="A152" s="262" t="s">
        <v>252</v>
      </c>
      <c r="B152" s="263"/>
      <c r="C152" s="208">
        <f>SUM(C147:C151)</f>
        <v>550</v>
      </c>
      <c r="D152" s="190"/>
      <c r="E152" s="190"/>
      <c r="F152" s="190"/>
      <c r="G152" s="190"/>
      <c r="H152" s="203"/>
      <c r="I152" s="204"/>
      <c r="J152" s="203"/>
      <c r="K152" s="203"/>
      <c r="L152" s="203"/>
      <c r="M152" s="205"/>
      <c r="N152" s="205"/>
      <c r="O152" s="204"/>
      <c r="P152" s="204"/>
      <c r="Q152" s="204"/>
      <c r="R152" s="204"/>
      <c r="S152" s="204"/>
      <c r="T152" s="204"/>
      <c r="U152" s="204"/>
      <c r="V152" s="205"/>
      <c r="W152" s="204"/>
      <c r="X152" s="204"/>
      <c r="Y152" s="205"/>
    </row>
    <row r="153" spans="1:26" x14ac:dyDescent="0.2">
      <c r="A153" s="189"/>
      <c r="B153" s="230" t="s">
        <v>67</v>
      </c>
      <c r="C153" s="187"/>
      <c r="D153" s="186">
        <f>D154+D155+D156+D157+D158+D159</f>
        <v>24.499499999999998</v>
      </c>
      <c r="E153" s="186">
        <f t="shared" ref="E153:F153" si="17">E154+E155+E156+E157+E158+E159</f>
        <v>39.000999999999998</v>
      </c>
      <c r="F153" s="186">
        <f t="shared" si="17"/>
        <v>102.77076000000001</v>
      </c>
      <c r="G153" s="186">
        <f>G154+G155+G156+G157+G158+G159</f>
        <v>885.49</v>
      </c>
      <c r="H153" s="203"/>
      <c r="I153" s="204"/>
      <c r="J153" s="203"/>
      <c r="K153" s="203"/>
      <c r="L153" s="203"/>
      <c r="M153" s="205"/>
      <c r="N153" s="205"/>
      <c r="O153" s="204"/>
      <c r="P153" s="204"/>
      <c r="Q153" s="204"/>
      <c r="R153" s="204"/>
      <c r="S153" s="204"/>
      <c r="T153" s="204"/>
      <c r="U153" s="204"/>
      <c r="V153" s="205"/>
      <c r="W153" s="204"/>
      <c r="X153" s="204"/>
      <c r="Y153" s="205"/>
    </row>
    <row r="154" spans="1:26" x14ac:dyDescent="0.2">
      <c r="A154" s="189" t="s">
        <v>142</v>
      </c>
      <c r="B154" s="182" t="s">
        <v>143</v>
      </c>
      <c r="C154" s="189">
        <v>100</v>
      </c>
      <c r="D154" s="190">
        <f>0.9*1.67</f>
        <v>1.5029999999999999</v>
      </c>
      <c r="E154" s="190">
        <v>0.06</v>
      </c>
      <c r="F154" s="190">
        <f>8.28*1.667</f>
        <v>13.802759999999999</v>
      </c>
      <c r="G154" s="190">
        <v>64.28</v>
      </c>
      <c r="H154" s="203"/>
      <c r="I154" s="204"/>
      <c r="J154" s="203"/>
      <c r="K154" s="203"/>
      <c r="L154" s="203"/>
      <c r="M154" s="205"/>
      <c r="N154" s="205"/>
      <c r="O154" s="204"/>
      <c r="P154" s="204"/>
      <c r="Q154" s="204"/>
      <c r="R154" s="204"/>
      <c r="S154" s="204"/>
      <c r="T154" s="204"/>
      <c r="U154" s="204"/>
      <c r="V154" s="205"/>
      <c r="W154" s="204"/>
      <c r="X154" s="204"/>
      <c r="Y154" s="205"/>
    </row>
    <row r="155" spans="1:26" ht="25.5" x14ac:dyDescent="0.2">
      <c r="A155" s="196" t="s">
        <v>101</v>
      </c>
      <c r="B155" s="182" t="s">
        <v>172</v>
      </c>
      <c r="C155" s="189">
        <v>255</v>
      </c>
      <c r="D155" s="190">
        <f>5.81*1.25</f>
        <v>7.2624999999999993</v>
      </c>
      <c r="E155" s="190">
        <f>11.82*1.25</f>
        <v>14.775</v>
      </c>
      <c r="F155" s="190">
        <f>15.48*1.25</f>
        <v>19.350000000000001</v>
      </c>
      <c r="G155" s="190">
        <f>196*1.25</f>
        <v>245</v>
      </c>
      <c r="H155" s="203"/>
      <c r="I155" s="204"/>
      <c r="J155" s="203"/>
      <c r="K155" s="203"/>
      <c r="L155" s="203"/>
      <c r="M155" s="205"/>
      <c r="N155" s="205"/>
      <c r="O155" s="204"/>
      <c r="P155" s="204"/>
      <c r="Q155" s="204"/>
      <c r="R155" s="204"/>
      <c r="S155" s="204"/>
      <c r="T155" s="204"/>
      <c r="U155" s="204"/>
      <c r="V155" s="205"/>
      <c r="W155" s="204"/>
      <c r="X155" s="204"/>
      <c r="Y155" s="205"/>
    </row>
    <row r="156" spans="1:26" x14ac:dyDescent="0.2">
      <c r="A156" s="189" t="s">
        <v>228</v>
      </c>
      <c r="B156" s="182" t="s">
        <v>151</v>
      </c>
      <c r="C156" s="189">
        <v>105</v>
      </c>
      <c r="D156" s="190">
        <v>6.14</v>
      </c>
      <c r="E156" s="190">
        <v>11.91</v>
      </c>
      <c r="F156" s="190">
        <v>10.92</v>
      </c>
      <c r="G156" s="190">
        <v>178.84</v>
      </c>
      <c r="H156" s="203"/>
      <c r="I156" s="204"/>
      <c r="J156" s="203"/>
      <c r="K156" s="203"/>
      <c r="L156" s="203"/>
      <c r="M156" s="205"/>
      <c r="N156" s="205"/>
      <c r="O156" s="204"/>
      <c r="P156" s="204"/>
      <c r="Q156" s="204"/>
      <c r="R156" s="204"/>
      <c r="S156" s="204"/>
      <c r="T156" s="204"/>
      <c r="U156" s="204"/>
      <c r="V156" s="205"/>
      <c r="W156" s="204"/>
      <c r="X156" s="204"/>
      <c r="Y156" s="205"/>
    </row>
    <row r="157" spans="1:26" x14ac:dyDescent="0.2">
      <c r="A157" s="189" t="s">
        <v>132</v>
      </c>
      <c r="B157" s="182" t="s">
        <v>133</v>
      </c>
      <c r="C157" s="189">
        <v>180</v>
      </c>
      <c r="D157" s="190">
        <f>5.77*1.2</f>
        <v>6.9239999999999995</v>
      </c>
      <c r="E157" s="190">
        <f>10.08*1.2</f>
        <v>12.096</v>
      </c>
      <c r="F157" s="190">
        <f>30.69*1.2</f>
        <v>36.828000000000003</v>
      </c>
      <c r="G157" s="190">
        <f>244*1.2</f>
        <v>292.8</v>
      </c>
      <c r="H157" s="203"/>
      <c r="I157" s="204"/>
      <c r="J157" s="203"/>
      <c r="K157" s="203"/>
      <c r="L157" s="203"/>
      <c r="M157" s="205"/>
      <c r="N157" s="205"/>
      <c r="O157" s="204"/>
      <c r="P157" s="204"/>
      <c r="Q157" s="204"/>
      <c r="R157" s="204"/>
      <c r="S157" s="204"/>
      <c r="T157" s="204"/>
      <c r="U157" s="204"/>
      <c r="V157" s="205"/>
      <c r="W157" s="204"/>
      <c r="X157" s="204"/>
      <c r="Y157" s="205"/>
    </row>
    <row r="158" spans="1:26" x14ac:dyDescent="0.2">
      <c r="A158" s="196" t="s">
        <v>42</v>
      </c>
      <c r="B158" s="182" t="s">
        <v>223</v>
      </c>
      <c r="C158" s="189">
        <v>200</v>
      </c>
      <c r="D158" s="190">
        <v>1.1499999999999999</v>
      </c>
      <c r="E158" s="190"/>
      <c r="F158" s="190">
        <v>12.03</v>
      </c>
      <c r="G158" s="190">
        <v>55.4</v>
      </c>
      <c r="H158" s="203"/>
      <c r="I158" s="204"/>
      <c r="J158" s="203"/>
      <c r="K158" s="203"/>
      <c r="L158" s="203"/>
      <c r="M158" s="205"/>
      <c r="N158" s="205"/>
      <c r="O158" s="204"/>
      <c r="P158" s="204"/>
      <c r="Q158" s="204"/>
      <c r="R158" s="204"/>
      <c r="S158" s="204"/>
      <c r="T158" s="204"/>
      <c r="U158" s="204"/>
      <c r="V158" s="205"/>
      <c r="W158" s="204"/>
      <c r="X158" s="204"/>
      <c r="Y158" s="205"/>
    </row>
    <row r="159" spans="1:26" x14ac:dyDescent="0.2">
      <c r="A159" s="206"/>
      <c r="B159" s="182" t="s">
        <v>11</v>
      </c>
      <c r="C159" s="189">
        <v>20</v>
      </c>
      <c r="D159" s="190">
        <v>1.52</v>
      </c>
      <c r="E159" s="190">
        <v>0.16</v>
      </c>
      <c r="F159" s="190">
        <v>9.84</v>
      </c>
      <c r="G159" s="190">
        <v>49.17</v>
      </c>
      <c r="H159" s="203"/>
      <c r="I159" s="204"/>
      <c r="J159" s="203"/>
      <c r="K159" s="203"/>
      <c r="L159" s="203"/>
      <c r="M159" s="205"/>
      <c r="N159" s="205"/>
      <c r="O159" s="204"/>
      <c r="P159" s="204"/>
      <c r="Q159" s="204"/>
      <c r="R159" s="204"/>
      <c r="S159" s="204"/>
      <c r="T159" s="204"/>
      <c r="U159" s="204"/>
      <c r="V159" s="205"/>
      <c r="W159" s="204"/>
      <c r="X159" s="204"/>
      <c r="Y159" s="205"/>
    </row>
    <row r="160" spans="1:26" x14ac:dyDescent="0.2">
      <c r="A160" s="262" t="s">
        <v>252</v>
      </c>
      <c r="B160" s="263"/>
      <c r="C160" s="187">
        <f>SUM(C154:C159)</f>
        <v>860</v>
      </c>
      <c r="D160" s="189"/>
      <c r="E160" s="189"/>
      <c r="F160" s="189"/>
      <c r="G160" s="189"/>
      <c r="H160" s="203"/>
      <c r="I160" s="204"/>
      <c r="J160" s="203"/>
      <c r="K160" s="203"/>
      <c r="L160" s="203"/>
      <c r="M160" s="205"/>
      <c r="N160" s="205"/>
      <c r="O160" s="204"/>
      <c r="P160" s="204"/>
      <c r="Q160" s="204"/>
      <c r="R160" s="204"/>
      <c r="S160" s="204"/>
      <c r="T160" s="204"/>
      <c r="U160" s="204"/>
      <c r="V160" s="205"/>
      <c r="W160" s="204"/>
      <c r="X160" s="204"/>
      <c r="Y160" s="205"/>
    </row>
    <row r="161" spans="1:7" x14ac:dyDescent="0.2">
      <c r="A161" s="280" t="s">
        <v>265</v>
      </c>
      <c r="B161" s="281"/>
      <c r="C161" s="282"/>
      <c r="D161" s="232">
        <f>D162+D170</f>
        <v>50.442700000000002</v>
      </c>
      <c r="E161" s="232">
        <f t="shared" ref="E161:G161" si="18">E162+E170</f>
        <v>56.47999999999999</v>
      </c>
      <c r="F161" s="232">
        <f t="shared" si="18"/>
        <v>232.71510000000001</v>
      </c>
      <c r="G161" s="232">
        <f t="shared" si="18"/>
        <v>1695.3</v>
      </c>
    </row>
    <row r="162" spans="1:7" x14ac:dyDescent="0.2">
      <c r="A162" s="233"/>
      <c r="B162" s="258" t="s">
        <v>66</v>
      </c>
      <c r="C162" s="233"/>
      <c r="D162" s="232">
        <f>D163+D164+D165+D166+D167+D168</f>
        <v>18.21</v>
      </c>
      <c r="E162" s="232">
        <f t="shared" ref="E162:G162" si="19">E163+E164+E165+E166+E167+E168</f>
        <v>19.13</v>
      </c>
      <c r="F162" s="232">
        <f t="shared" si="19"/>
        <v>102.99000000000001</v>
      </c>
      <c r="G162" s="232">
        <f t="shared" si="19"/>
        <v>682.25</v>
      </c>
    </row>
    <row r="163" spans="1:7" x14ac:dyDescent="0.2">
      <c r="A163" s="235" t="s">
        <v>181</v>
      </c>
      <c r="B163" s="236" t="s">
        <v>35</v>
      </c>
      <c r="C163" s="235">
        <v>10</v>
      </c>
      <c r="D163" s="237">
        <v>2.6</v>
      </c>
      <c r="E163" s="237">
        <v>2.65</v>
      </c>
      <c r="F163" s="237">
        <v>0.35</v>
      </c>
      <c r="G163" s="237">
        <v>36.24</v>
      </c>
    </row>
    <row r="164" spans="1:7" x14ac:dyDescent="0.2">
      <c r="A164" s="235" t="s">
        <v>179</v>
      </c>
      <c r="B164" s="236" t="s">
        <v>136</v>
      </c>
      <c r="C164" s="235">
        <v>5</v>
      </c>
      <c r="D164" s="237">
        <v>0.05</v>
      </c>
      <c r="E164" s="237">
        <v>3.63</v>
      </c>
      <c r="F164" s="237">
        <v>7.0000000000000007E-2</v>
      </c>
      <c r="G164" s="237">
        <v>33.11</v>
      </c>
    </row>
    <row r="165" spans="1:7" ht="25.5" x14ac:dyDescent="0.2">
      <c r="A165" s="235" t="s">
        <v>180</v>
      </c>
      <c r="B165" s="236" t="s">
        <v>208</v>
      </c>
      <c r="C165" s="235">
        <v>255</v>
      </c>
      <c r="D165" s="237">
        <v>9.52</v>
      </c>
      <c r="E165" s="237">
        <v>7.81</v>
      </c>
      <c r="F165" s="237">
        <v>42.93</v>
      </c>
      <c r="G165" s="237">
        <v>290.56</v>
      </c>
    </row>
    <row r="166" spans="1:7" x14ac:dyDescent="0.2">
      <c r="A166" s="238"/>
      <c r="B166" s="236" t="s">
        <v>62</v>
      </c>
      <c r="C166" s="235">
        <v>40</v>
      </c>
      <c r="D166" s="237">
        <v>3</v>
      </c>
      <c r="E166" s="237">
        <v>4.72</v>
      </c>
      <c r="F166" s="237">
        <v>29.96</v>
      </c>
      <c r="G166" s="237">
        <v>182</v>
      </c>
    </row>
    <row r="167" spans="1:7" x14ac:dyDescent="0.2">
      <c r="A167" s="235" t="s">
        <v>182</v>
      </c>
      <c r="B167" s="236" t="s">
        <v>10</v>
      </c>
      <c r="C167" s="239">
        <v>200</v>
      </c>
      <c r="D167" s="237">
        <v>0</v>
      </c>
      <c r="E167" s="237">
        <v>0</v>
      </c>
      <c r="F167" s="237">
        <v>10</v>
      </c>
      <c r="G167" s="237">
        <v>42</v>
      </c>
    </row>
    <row r="168" spans="1:7" x14ac:dyDescent="0.2">
      <c r="A168" s="235"/>
      <c r="B168" s="236" t="s">
        <v>11</v>
      </c>
      <c r="C168" s="235">
        <v>40</v>
      </c>
      <c r="D168" s="237">
        <v>3.04</v>
      </c>
      <c r="E168" s="237">
        <v>0.32</v>
      </c>
      <c r="F168" s="237">
        <v>19.68</v>
      </c>
      <c r="G168" s="237">
        <v>98.34</v>
      </c>
    </row>
    <row r="169" spans="1:7" x14ac:dyDescent="0.2">
      <c r="A169" s="270" t="s">
        <v>252</v>
      </c>
      <c r="B169" s="271"/>
      <c r="C169" s="240">
        <v>550</v>
      </c>
      <c r="D169" s="241"/>
      <c r="E169" s="241"/>
      <c r="F169" s="241"/>
      <c r="G169" s="241"/>
    </row>
    <row r="170" spans="1:7" x14ac:dyDescent="0.2">
      <c r="A170" s="238"/>
      <c r="B170" s="259" t="s">
        <v>67</v>
      </c>
      <c r="C170" s="240"/>
      <c r="D170" s="248">
        <f>D171+D172+D173+D174+D175+D176</f>
        <v>32.232700000000001</v>
      </c>
      <c r="E170" s="248">
        <f t="shared" ref="E170:G170" si="20">E171+E172+E173+E174+E175+E176</f>
        <v>37.349999999999994</v>
      </c>
      <c r="F170" s="248">
        <f t="shared" si="20"/>
        <v>129.7251</v>
      </c>
      <c r="G170" s="248">
        <f t="shared" si="20"/>
        <v>1013.05</v>
      </c>
    </row>
    <row r="171" spans="1:7" x14ac:dyDescent="0.2">
      <c r="A171" s="235" t="s">
        <v>82</v>
      </c>
      <c r="B171" s="236" t="s">
        <v>83</v>
      </c>
      <c r="C171" s="235">
        <v>100</v>
      </c>
      <c r="D171" s="237">
        <f>1.21*1.67</f>
        <v>2.0206999999999997</v>
      </c>
      <c r="E171" s="237">
        <f>6.2*1.67</f>
        <v>10.353999999999999</v>
      </c>
      <c r="F171" s="237">
        <f>12.33*1.67</f>
        <v>20.591100000000001</v>
      </c>
      <c r="G171" s="237">
        <f>113*1.67</f>
        <v>188.70999999999998</v>
      </c>
    </row>
    <row r="172" spans="1:7" x14ac:dyDescent="0.2">
      <c r="A172" s="235" t="s">
        <v>290</v>
      </c>
      <c r="B172" s="242" t="s">
        <v>289</v>
      </c>
      <c r="C172" s="235">
        <v>255</v>
      </c>
      <c r="D172" s="237">
        <v>2.4500000000000002</v>
      </c>
      <c r="E172" s="237">
        <v>5.56</v>
      </c>
      <c r="F172" s="237">
        <v>17.149999999999999</v>
      </c>
      <c r="G172" s="237">
        <v>128.41</v>
      </c>
    </row>
    <row r="173" spans="1:7" x14ac:dyDescent="0.2">
      <c r="A173" s="235" t="s">
        <v>227</v>
      </c>
      <c r="B173" s="242" t="s">
        <v>154</v>
      </c>
      <c r="C173" s="235">
        <v>110</v>
      </c>
      <c r="D173" s="237">
        <v>5.73</v>
      </c>
      <c r="E173" s="237">
        <v>16.34</v>
      </c>
      <c r="F173" s="237">
        <v>10.38</v>
      </c>
      <c r="G173" s="237">
        <v>215</v>
      </c>
    </row>
    <row r="174" spans="1:7" x14ac:dyDescent="0.2">
      <c r="A174" s="238" t="s">
        <v>134</v>
      </c>
      <c r="B174" s="236" t="s">
        <v>155</v>
      </c>
      <c r="C174" s="235">
        <v>180</v>
      </c>
      <c r="D174" s="237">
        <f>16.26*1.2</f>
        <v>19.512</v>
      </c>
      <c r="E174" s="237">
        <f>4.03*1.2</f>
        <v>4.8360000000000003</v>
      </c>
      <c r="F174" s="237">
        <f>33.97*1.2</f>
        <v>40.763999999999996</v>
      </c>
      <c r="G174" s="237">
        <f>247.3*1.2</f>
        <v>296.76</v>
      </c>
    </row>
    <row r="175" spans="1:7" ht="25.5" x14ac:dyDescent="0.2">
      <c r="A175" s="235" t="s">
        <v>42</v>
      </c>
      <c r="B175" s="236" t="s">
        <v>224</v>
      </c>
      <c r="C175" s="235">
        <v>200</v>
      </c>
      <c r="D175" s="237">
        <v>1</v>
      </c>
      <c r="E175" s="237">
        <v>0.1</v>
      </c>
      <c r="F175" s="237">
        <v>31</v>
      </c>
      <c r="G175" s="237">
        <v>135</v>
      </c>
    </row>
    <row r="176" spans="1:7" x14ac:dyDescent="0.2">
      <c r="A176" s="239"/>
      <c r="B176" s="236" t="s">
        <v>11</v>
      </c>
      <c r="C176" s="235">
        <v>20</v>
      </c>
      <c r="D176" s="237">
        <v>1.52</v>
      </c>
      <c r="E176" s="237">
        <v>0.16</v>
      </c>
      <c r="F176" s="237">
        <v>9.84</v>
      </c>
      <c r="G176" s="237">
        <v>49.17</v>
      </c>
    </row>
    <row r="177" spans="1:7" x14ac:dyDescent="0.2">
      <c r="A177" s="270" t="s">
        <v>252</v>
      </c>
      <c r="B177" s="271"/>
      <c r="C177" s="240">
        <v>865</v>
      </c>
      <c r="D177" s="241"/>
      <c r="E177" s="241"/>
      <c r="F177" s="241"/>
      <c r="G177" s="241"/>
    </row>
    <row r="178" spans="1:7" x14ac:dyDescent="0.2">
      <c r="A178" s="280" t="s">
        <v>266</v>
      </c>
      <c r="B178" s="281"/>
      <c r="C178" s="282"/>
      <c r="D178" s="232">
        <f>D179+D185</f>
        <v>53.6205</v>
      </c>
      <c r="E178" s="232">
        <f t="shared" ref="E178:G178" si="21">E179+E185</f>
        <v>74.765499999999989</v>
      </c>
      <c r="F178" s="232">
        <f t="shared" si="21"/>
        <v>208.42750000000001</v>
      </c>
      <c r="G178" s="232">
        <f t="shared" si="21"/>
        <v>1766.8100000000004</v>
      </c>
    </row>
    <row r="179" spans="1:7" x14ac:dyDescent="0.2">
      <c r="A179" s="233"/>
      <c r="B179" s="258" t="s">
        <v>66</v>
      </c>
      <c r="C179" s="233"/>
      <c r="D179" s="232">
        <f>D180+D181+D182+D183</f>
        <v>19.292499999999997</v>
      </c>
      <c r="E179" s="232">
        <f t="shared" ref="E179:G179" si="22">E180+E181+E182+E183</f>
        <v>14.7875</v>
      </c>
      <c r="F179" s="232">
        <f t="shared" si="22"/>
        <v>125.0575</v>
      </c>
      <c r="G179" s="232">
        <f t="shared" si="22"/>
        <v>741.28000000000009</v>
      </c>
    </row>
    <row r="180" spans="1:7" ht="25.5" x14ac:dyDescent="0.2">
      <c r="A180" s="235" t="s">
        <v>180</v>
      </c>
      <c r="B180" s="236" t="s">
        <v>206</v>
      </c>
      <c r="C180" s="235">
        <v>253</v>
      </c>
      <c r="D180" s="237">
        <f>7.81*1.25</f>
        <v>9.7624999999999993</v>
      </c>
      <c r="E180" s="237">
        <f>4.55*1.25</f>
        <v>5.6875</v>
      </c>
      <c r="F180" s="237">
        <f>33.47*1.25</f>
        <v>41.837499999999999</v>
      </c>
      <c r="G180" s="237">
        <v>267.91000000000003</v>
      </c>
    </row>
    <row r="181" spans="1:7" x14ac:dyDescent="0.2">
      <c r="A181" s="238"/>
      <c r="B181" s="236" t="s">
        <v>62</v>
      </c>
      <c r="C181" s="235">
        <v>60</v>
      </c>
      <c r="D181" s="237">
        <f>1.5*3</f>
        <v>4.5</v>
      </c>
      <c r="E181" s="237">
        <f>2.36*3</f>
        <v>7.08</v>
      </c>
      <c r="F181" s="237">
        <f>14.98*3</f>
        <v>44.94</v>
      </c>
      <c r="G181" s="237">
        <f>91*3</f>
        <v>273</v>
      </c>
    </row>
    <row r="182" spans="1:7" x14ac:dyDescent="0.2">
      <c r="A182" s="235" t="s">
        <v>183</v>
      </c>
      <c r="B182" s="236" t="s">
        <v>51</v>
      </c>
      <c r="C182" s="235">
        <v>200</v>
      </c>
      <c r="D182" s="237">
        <v>1.99</v>
      </c>
      <c r="E182" s="237">
        <v>1.7</v>
      </c>
      <c r="F182" s="237">
        <v>18.600000000000001</v>
      </c>
      <c r="G182" s="237">
        <v>102.03</v>
      </c>
    </row>
    <row r="183" spans="1:7" x14ac:dyDescent="0.2">
      <c r="A183" s="235"/>
      <c r="B183" s="236" t="s">
        <v>11</v>
      </c>
      <c r="C183" s="235">
        <v>40</v>
      </c>
      <c r="D183" s="237">
        <v>3.04</v>
      </c>
      <c r="E183" s="237">
        <v>0.32</v>
      </c>
      <c r="F183" s="237">
        <v>19.68</v>
      </c>
      <c r="G183" s="237">
        <v>98.34</v>
      </c>
    </row>
    <row r="184" spans="1:7" x14ac:dyDescent="0.2">
      <c r="A184" s="270" t="s">
        <v>252</v>
      </c>
      <c r="B184" s="271"/>
      <c r="C184" s="233">
        <f>SUM(C180:C183)</f>
        <v>553</v>
      </c>
      <c r="D184" s="237"/>
      <c r="E184" s="237"/>
      <c r="F184" s="237"/>
      <c r="G184" s="237"/>
    </row>
    <row r="185" spans="1:7" x14ac:dyDescent="0.2">
      <c r="A185" s="235"/>
      <c r="B185" s="259" t="s">
        <v>67</v>
      </c>
      <c r="C185" s="233"/>
      <c r="D185" s="232">
        <f>D186+D187+D188+D189+D190+D191</f>
        <v>34.328000000000003</v>
      </c>
      <c r="E185" s="232">
        <f t="shared" ref="E185:G185" si="23">E186+E187+E188+E189+E190+E191</f>
        <v>59.977999999999994</v>
      </c>
      <c r="F185" s="232">
        <f t="shared" si="23"/>
        <v>83.37</v>
      </c>
      <c r="G185" s="232">
        <f t="shared" si="23"/>
        <v>1025.5300000000002</v>
      </c>
    </row>
    <row r="186" spans="1:7" x14ac:dyDescent="0.2">
      <c r="A186" s="235" t="s">
        <v>292</v>
      </c>
      <c r="B186" s="236" t="s">
        <v>291</v>
      </c>
      <c r="C186" s="235">
        <v>100</v>
      </c>
      <c r="D186" s="251">
        <v>0.8</v>
      </c>
      <c r="E186" s="237">
        <v>0</v>
      </c>
      <c r="F186" s="237">
        <v>1.7</v>
      </c>
      <c r="G186" s="237">
        <v>10</v>
      </c>
    </row>
    <row r="187" spans="1:7" ht="25.5" x14ac:dyDescent="0.2">
      <c r="A187" s="235" t="s">
        <v>296</v>
      </c>
      <c r="B187" s="242" t="s">
        <v>297</v>
      </c>
      <c r="C187" s="235">
        <v>260</v>
      </c>
      <c r="D187" s="237">
        <v>16.25</v>
      </c>
      <c r="E187" s="237">
        <v>22.5</v>
      </c>
      <c r="F187" s="237">
        <v>15.34</v>
      </c>
      <c r="G187" s="237">
        <v>328.85</v>
      </c>
    </row>
    <row r="188" spans="1:7" x14ac:dyDescent="0.2">
      <c r="A188" s="238" t="s">
        <v>43</v>
      </c>
      <c r="B188" s="236" t="s">
        <v>298</v>
      </c>
      <c r="C188" s="235">
        <v>100</v>
      </c>
      <c r="D188" s="237">
        <v>8.99</v>
      </c>
      <c r="E188" s="237">
        <v>33.909999999999997</v>
      </c>
      <c r="F188" s="237">
        <v>3.29</v>
      </c>
      <c r="G188" s="237">
        <v>354.31</v>
      </c>
    </row>
    <row r="189" spans="1:7" x14ac:dyDescent="0.2">
      <c r="A189" s="235" t="s">
        <v>33</v>
      </c>
      <c r="B189" s="236" t="s">
        <v>12</v>
      </c>
      <c r="C189" s="235">
        <v>180</v>
      </c>
      <c r="D189" s="237">
        <f>5.64*1.2</f>
        <v>6.7679999999999998</v>
      </c>
      <c r="E189" s="237">
        <f>2.84*1.2</f>
        <v>3.4079999999999999</v>
      </c>
      <c r="F189" s="237">
        <f>36*1.2</f>
        <v>43.199999999999996</v>
      </c>
      <c r="G189" s="237">
        <f>201*1.2</f>
        <v>241.2</v>
      </c>
    </row>
    <row r="190" spans="1:7" x14ac:dyDescent="0.2">
      <c r="A190" s="235" t="s">
        <v>182</v>
      </c>
      <c r="B190" s="236" t="s">
        <v>10</v>
      </c>
      <c r="C190" s="239">
        <v>200</v>
      </c>
      <c r="D190" s="237">
        <v>0</v>
      </c>
      <c r="E190" s="237">
        <v>0</v>
      </c>
      <c r="F190" s="237">
        <v>10</v>
      </c>
      <c r="G190" s="237">
        <v>42</v>
      </c>
    </row>
    <row r="191" spans="1:7" x14ac:dyDescent="0.2">
      <c r="A191" s="239"/>
      <c r="B191" s="236" t="s">
        <v>11</v>
      </c>
      <c r="C191" s="235">
        <v>20</v>
      </c>
      <c r="D191" s="237">
        <v>1.52</v>
      </c>
      <c r="E191" s="237">
        <v>0.16</v>
      </c>
      <c r="F191" s="237">
        <v>9.84</v>
      </c>
      <c r="G191" s="237">
        <v>49.17</v>
      </c>
    </row>
    <row r="192" spans="1:7" x14ac:dyDescent="0.2">
      <c r="A192" s="270" t="s">
        <v>252</v>
      </c>
      <c r="B192" s="271"/>
      <c r="C192" s="233">
        <f>SUM(C186:C191)</f>
        <v>860</v>
      </c>
      <c r="D192" s="237"/>
      <c r="E192" s="237"/>
      <c r="F192" s="237"/>
      <c r="G192" s="237"/>
    </row>
    <row r="193" spans="1:7" x14ac:dyDescent="0.2">
      <c r="A193" s="280" t="s">
        <v>267</v>
      </c>
      <c r="B193" s="281"/>
      <c r="C193" s="282"/>
      <c r="D193" s="232">
        <f>D194+D200</f>
        <v>38.192900000000002</v>
      </c>
      <c r="E193" s="232">
        <f t="shared" ref="E193:G193" si="24">E194+E200</f>
        <v>51.269599999999997</v>
      </c>
      <c r="F193" s="232">
        <f t="shared" si="24"/>
        <v>179.47359999999998</v>
      </c>
      <c r="G193" s="232">
        <f t="shared" si="24"/>
        <v>1367.165</v>
      </c>
    </row>
    <row r="194" spans="1:7" x14ac:dyDescent="0.2">
      <c r="A194" s="233"/>
      <c r="B194" s="258" t="s">
        <v>66</v>
      </c>
      <c r="C194" s="233"/>
      <c r="D194" s="232">
        <f>D195+D196+D197+D198</f>
        <v>12.010000000000002</v>
      </c>
      <c r="E194" s="232">
        <f t="shared" ref="E194:G194" si="25">E195+E196+E197+E198</f>
        <v>10.95</v>
      </c>
      <c r="F194" s="232">
        <f t="shared" si="25"/>
        <v>94.91</v>
      </c>
      <c r="G194" s="232">
        <f t="shared" si="25"/>
        <v>547.36500000000001</v>
      </c>
    </row>
    <row r="195" spans="1:7" x14ac:dyDescent="0.2">
      <c r="A195" s="235"/>
      <c r="B195" s="236" t="s">
        <v>41</v>
      </c>
      <c r="C195" s="235">
        <v>100</v>
      </c>
      <c r="D195" s="237">
        <v>0.4</v>
      </c>
      <c r="E195" s="237">
        <v>0</v>
      </c>
      <c r="F195" s="237">
        <v>9.8000000000000007</v>
      </c>
      <c r="G195" s="237">
        <v>42.84</v>
      </c>
    </row>
    <row r="196" spans="1:7" ht="25.5" x14ac:dyDescent="0.2">
      <c r="A196" s="235" t="s">
        <v>180</v>
      </c>
      <c r="B196" s="236" t="s">
        <v>203</v>
      </c>
      <c r="C196" s="235">
        <v>205</v>
      </c>
      <c r="D196" s="237">
        <v>6.81</v>
      </c>
      <c r="E196" s="237">
        <v>10.45</v>
      </c>
      <c r="F196" s="237">
        <v>29.51</v>
      </c>
      <c r="G196" s="237">
        <v>246.6</v>
      </c>
    </row>
    <row r="197" spans="1:7" ht="25.5" x14ac:dyDescent="0.2">
      <c r="A197" s="235" t="s">
        <v>42</v>
      </c>
      <c r="B197" s="236" t="s">
        <v>224</v>
      </c>
      <c r="C197" s="235">
        <v>200</v>
      </c>
      <c r="D197" s="237">
        <v>1</v>
      </c>
      <c r="E197" s="237">
        <v>0.1</v>
      </c>
      <c r="F197" s="237">
        <v>31</v>
      </c>
      <c r="G197" s="237">
        <v>135</v>
      </c>
    </row>
    <row r="198" spans="1:7" x14ac:dyDescent="0.2">
      <c r="A198" s="235"/>
      <c r="B198" s="236" t="s">
        <v>11</v>
      </c>
      <c r="C198" s="235">
        <v>50</v>
      </c>
      <c r="D198" s="237">
        <f>3.04*1.25</f>
        <v>3.8</v>
      </c>
      <c r="E198" s="237">
        <f>0.32*1.25</f>
        <v>0.4</v>
      </c>
      <c r="F198" s="237">
        <f>19.68*1.25</f>
        <v>24.6</v>
      </c>
      <c r="G198" s="237">
        <f>98.34*1.25</f>
        <v>122.92500000000001</v>
      </c>
    </row>
    <row r="199" spans="1:7" x14ac:dyDescent="0.2">
      <c r="A199" s="270" t="s">
        <v>252</v>
      </c>
      <c r="B199" s="271"/>
      <c r="C199" s="233">
        <f>SUM(C195:C198)</f>
        <v>555</v>
      </c>
      <c r="D199" s="237"/>
      <c r="E199" s="237"/>
      <c r="F199" s="237"/>
      <c r="G199" s="237"/>
    </row>
    <row r="200" spans="1:7" x14ac:dyDescent="0.2">
      <c r="A200" s="235"/>
      <c r="B200" s="259" t="s">
        <v>67</v>
      </c>
      <c r="C200" s="233"/>
      <c r="D200" s="232">
        <f>D201+D202+D203+D204+D205</f>
        <v>26.1829</v>
      </c>
      <c r="E200" s="232">
        <f t="shared" ref="E200:G200" si="26">E201+E202+E203+E204+E205</f>
        <v>40.319600000000001</v>
      </c>
      <c r="F200" s="232">
        <f t="shared" si="26"/>
        <v>84.563599999999994</v>
      </c>
      <c r="G200" s="232">
        <f t="shared" si="26"/>
        <v>819.8</v>
      </c>
    </row>
    <row r="201" spans="1:7" x14ac:dyDescent="0.2">
      <c r="A201" s="235" t="s">
        <v>192</v>
      </c>
      <c r="B201" s="236" t="s">
        <v>137</v>
      </c>
      <c r="C201" s="235">
        <v>100</v>
      </c>
      <c r="D201" s="237">
        <f>0.94*1.66</f>
        <v>1.5603999999999998</v>
      </c>
      <c r="E201" s="237">
        <f>4.06*1.66</f>
        <v>6.7395999999999994</v>
      </c>
      <c r="F201" s="237">
        <f>5.96*1.66</f>
        <v>9.8935999999999993</v>
      </c>
      <c r="G201" s="237">
        <v>108.76</v>
      </c>
    </row>
    <row r="202" spans="1:7" ht="25.5" x14ac:dyDescent="0.2">
      <c r="A202" s="235" t="s">
        <v>185</v>
      </c>
      <c r="B202" s="236" t="s">
        <v>141</v>
      </c>
      <c r="C202" s="235">
        <v>255</v>
      </c>
      <c r="D202" s="237">
        <f>2.57*1.25</f>
        <v>3.2124999999999999</v>
      </c>
      <c r="E202" s="237">
        <f>9.24*1.25</f>
        <v>11.55</v>
      </c>
      <c r="F202" s="237">
        <f>18.04*1.25</f>
        <v>22.549999999999997</v>
      </c>
      <c r="G202" s="237">
        <f>169.72*1.25</f>
        <v>212.15</v>
      </c>
    </row>
    <row r="203" spans="1:7" x14ac:dyDescent="0.2">
      <c r="A203" s="235" t="s">
        <v>294</v>
      </c>
      <c r="B203" s="242" t="s">
        <v>293</v>
      </c>
      <c r="C203" s="235">
        <v>200</v>
      </c>
      <c r="D203" s="237">
        <v>18.91</v>
      </c>
      <c r="E203" s="237">
        <v>21.83</v>
      </c>
      <c r="F203" s="237">
        <v>22.12</v>
      </c>
      <c r="G203" s="237">
        <v>360.59</v>
      </c>
    </row>
    <row r="204" spans="1:7" x14ac:dyDescent="0.2">
      <c r="A204" s="238" t="s">
        <v>182</v>
      </c>
      <c r="B204" s="236" t="s">
        <v>10</v>
      </c>
      <c r="C204" s="235">
        <v>200</v>
      </c>
      <c r="D204" s="237">
        <v>0</v>
      </c>
      <c r="E204" s="237">
        <v>0</v>
      </c>
      <c r="F204" s="237">
        <v>10</v>
      </c>
      <c r="G204" s="237">
        <v>42</v>
      </c>
    </row>
    <row r="205" spans="1:7" x14ac:dyDescent="0.2">
      <c r="A205" s="239"/>
      <c r="B205" s="236" t="s">
        <v>37</v>
      </c>
      <c r="C205" s="235">
        <v>50</v>
      </c>
      <c r="D205" s="237">
        <v>2.5</v>
      </c>
      <c r="E205" s="237">
        <v>0.2</v>
      </c>
      <c r="F205" s="237">
        <v>20</v>
      </c>
      <c r="G205" s="237">
        <v>96.3</v>
      </c>
    </row>
    <row r="206" spans="1:7" x14ac:dyDescent="0.2">
      <c r="A206" s="270" t="s">
        <v>252</v>
      </c>
      <c r="B206" s="271"/>
      <c r="C206" s="233">
        <f>SUM(C201:C205)</f>
        <v>805</v>
      </c>
      <c r="D206" s="237"/>
      <c r="E206" s="237"/>
      <c r="F206" s="237"/>
      <c r="G206" s="237"/>
    </row>
    <row r="207" spans="1:7" x14ac:dyDescent="0.2">
      <c r="A207" s="280" t="s">
        <v>278</v>
      </c>
      <c r="B207" s="281"/>
      <c r="C207" s="282"/>
      <c r="D207" s="232">
        <f>D208+D214</f>
        <v>40.320499999999996</v>
      </c>
      <c r="E207" s="232">
        <f t="shared" ref="E207:G207" si="27">E208+E214</f>
        <v>32.224999999999994</v>
      </c>
      <c r="F207" s="232">
        <f t="shared" si="27"/>
        <v>220.09775999999999</v>
      </c>
      <c r="G207" s="232">
        <f t="shared" si="27"/>
        <v>1372.26</v>
      </c>
    </row>
    <row r="208" spans="1:7" x14ac:dyDescent="0.2">
      <c r="A208" s="233"/>
      <c r="B208" s="258" t="s">
        <v>66</v>
      </c>
      <c r="C208" s="233"/>
      <c r="D208" s="232">
        <f>D209+D210+D211+D212</f>
        <v>17.044999999999998</v>
      </c>
      <c r="E208" s="232">
        <f t="shared" ref="E208:G208" si="28">E209+E210+E211+E212</f>
        <v>9.4224999999999994</v>
      </c>
      <c r="F208" s="232">
        <f t="shared" si="28"/>
        <v>130.43</v>
      </c>
      <c r="G208" s="232">
        <f t="shared" si="28"/>
        <v>704.21</v>
      </c>
    </row>
    <row r="209" spans="1:7" x14ac:dyDescent="0.2">
      <c r="A209" s="238" t="s">
        <v>199</v>
      </c>
      <c r="B209" s="236" t="s">
        <v>196</v>
      </c>
      <c r="C209" s="235">
        <v>60</v>
      </c>
      <c r="D209" s="237">
        <v>4.91</v>
      </c>
      <c r="E209" s="237">
        <v>3.79</v>
      </c>
      <c r="F209" s="237">
        <v>36.090000000000003</v>
      </c>
      <c r="G209" s="237">
        <v>206.31</v>
      </c>
    </row>
    <row r="210" spans="1:7" ht="25.5" x14ac:dyDescent="0.2">
      <c r="A210" s="235" t="s">
        <v>180</v>
      </c>
      <c r="B210" s="236" t="s">
        <v>207</v>
      </c>
      <c r="C210" s="235">
        <v>253</v>
      </c>
      <c r="D210" s="237">
        <f>7.26*1.25</f>
        <v>9.0749999999999993</v>
      </c>
      <c r="E210" s="237">
        <f>4.25*1.25</f>
        <v>5.3125</v>
      </c>
      <c r="F210" s="237">
        <f>36.28*1.25</f>
        <v>45.35</v>
      </c>
      <c r="G210" s="237">
        <v>276.39999999999998</v>
      </c>
    </row>
    <row r="211" spans="1:7" ht="25.5" x14ac:dyDescent="0.2">
      <c r="A211" s="238" t="s">
        <v>40</v>
      </c>
      <c r="B211" s="236" t="s">
        <v>225</v>
      </c>
      <c r="C211" s="235">
        <v>200</v>
      </c>
      <c r="D211" s="237">
        <v>0.02</v>
      </c>
      <c r="E211" s="237"/>
      <c r="F211" s="237">
        <v>29.31</v>
      </c>
      <c r="G211" s="237">
        <v>123.16</v>
      </c>
    </row>
    <row r="212" spans="1:7" x14ac:dyDescent="0.2">
      <c r="A212" s="235"/>
      <c r="B212" s="236" t="s">
        <v>11</v>
      </c>
      <c r="C212" s="235">
        <v>40</v>
      </c>
      <c r="D212" s="237">
        <v>3.04</v>
      </c>
      <c r="E212" s="237">
        <v>0.32</v>
      </c>
      <c r="F212" s="237">
        <v>19.68</v>
      </c>
      <c r="G212" s="237">
        <v>98.34</v>
      </c>
    </row>
    <row r="213" spans="1:7" x14ac:dyDescent="0.2">
      <c r="A213" s="270" t="s">
        <v>252</v>
      </c>
      <c r="B213" s="271"/>
      <c r="C213" s="233">
        <f>SUM(C209:C212)</f>
        <v>553</v>
      </c>
      <c r="D213" s="237"/>
      <c r="E213" s="237"/>
      <c r="F213" s="237"/>
      <c r="G213" s="237"/>
    </row>
    <row r="214" spans="1:7" x14ac:dyDescent="0.2">
      <c r="A214" s="235"/>
      <c r="B214" s="259" t="s">
        <v>67</v>
      </c>
      <c r="C214" s="233"/>
      <c r="D214" s="232">
        <f>D215+D216+D217+D218+D219+D220</f>
        <v>23.275499999999997</v>
      </c>
      <c r="E214" s="232">
        <f t="shared" ref="E214:G214" si="29">E215+E216+E217+E218+E219+E220</f>
        <v>22.802499999999998</v>
      </c>
      <c r="F214" s="232">
        <f t="shared" si="29"/>
        <v>89.667760000000001</v>
      </c>
      <c r="G214" s="232">
        <f t="shared" si="29"/>
        <v>668.05</v>
      </c>
    </row>
    <row r="215" spans="1:7" x14ac:dyDescent="0.2">
      <c r="A215" s="235" t="s">
        <v>142</v>
      </c>
      <c r="B215" s="236" t="s">
        <v>143</v>
      </c>
      <c r="C215" s="235">
        <v>100</v>
      </c>
      <c r="D215" s="237">
        <f>0.9*1.67</f>
        <v>1.5029999999999999</v>
      </c>
      <c r="E215" s="237">
        <v>0.06</v>
      </c>
      <c r="F215" s="237">
        <f>8.28*1.667</f>
        <v>13.802759999999999</v>
      </c>
      <c r="G215" s="237">
        <v>64.28</v>
      </c>
    </row>
    <row r="216" spans="1:7" x14ac:dyDescent="0.2">
      <c r="A216" s="235" t="s">
        <v>184</v>
      </c>
      <c r="B216" s="236" t="s">
        <v>138</v>
      </c>
      <c r="C216" s="235">
        <v>255</v>
      </c>
      <c r="D216" s="237">
        <f>3.09*1.25</f>
        <v>3.8624999999999998</v>
      </c>
      <c r="E216" s="237">
        <f>4.61*1.25</f>
        <v>5.7625000000000002</v>
      </c>
      <c r="F216" s="237">
        <f>12.54*1.25</f>
        <v>15.674999999999999</v>
      </c>
      <c r="G216" s="237">
        <f>107.36*1.25</f>
        <v>134.19999999999999</v>
      </c>
    </row>
    <row r="217" spans="1:7" x14ac:dyDescent="0.2">
      <c r="A217" s="235" t="s">
        <v>277</v>
      </c>
      <c r="B217" s="236" t="s">
        <v>276</v>
      </c>
      <c r="C217" s="235">
        <v>100</v>
      </c>
      <c r="D217" s="237">
        <v>11.31</v>
      </c>
      <c r="E217" s="237">
        <v>10.82</v>
      </c>
      <c r="F217" s="237">
        <v>11.3</v>
      </c>
      <c r="G217" s="237">
        <v>187.84</v>
      </c>
    </row>
    <row r="218" spans="1:7" x14ac:dyDescent="0.2">
      <c r="A218" s="235" t="s">
        <v>300</v>
      </c>
      <c r="B218" s="236" t="s">
        <v>299</v>
      </c>
      <c r="C218" s="235">
        <v>180</v>
      </c>
      <c r="D218" s="237">
        <v>5.08</v>
      </c>
      <c r="E218" s="237">
        <v>6</v>
      </c>
      <c r="F218" s="237">
        <v>29.05</v>
      </c>
      <c r="G218" s="237">
        <v>190.56</v>
      </c>
    </row>
    <row r="219" spans="1:7" x14ac:dyDescent="0.2">
      <c r="A219" s="238" t="s">
        <v>182</v>
      </c>
      <c r="B219" s="236" t="s">
        <v>10</v>
      </c>
      <c r="C219" s="235">
        <v>200</v>
      </c>
      <c r="D219" s="237">
        <v>0</v>
      </c>
      <c r="E219" s="237">
        <v>0</v>
      </c>
      <c r="F219" s="237">
        <v>10</v>
      </c>
      <c r="G219" s="237">
        <v>42</v>
      </c>
    </row>
    <row r="220" spans="1:7" x14ac:dyDescent="0.2">
      <c r="A220" s="235"/>
      <c r="B220" s="236" t="s">
        <v>11</v>
      </c>
      <c r="C220" s="235">
        <v>20</v>
      </c>
      <c r="D220" s="237">
        <v>1.52</v>
      </c>
      <c r="E220" s="237">
        <v>0.16</v>
      </c>
      <c r="F220" s="237">
        <v>9.84</v>
      </c>
      <c r="G220" s="237">
        <v>49.17</v>
      </c>
    </row>
    <row r="221" spans="1:7" x14ac:dyDescent="0.2">
      <c r="A221" s="270" t="s">
        <v>252</v>
      </c>
      <c r="B221" s="271"/>
      <c r="C221" s="233">
        <f>SUM(C215:C220)</f>
        <v>855</v>
      </c>
      <c r="D221" s="237"/>
      <c r="E221" s="237"/>
      <c r="F221" s="237"/>
      <c r="G221" s="237"/>
    </row>
    <row r="222" spans="1:7" x14ac:dyDescent="0.2">
      <c r="A222" s="280" t="s">
        <v>279</v>
      </c>
      <c r="B222" s="281"/>
      <c r="C222" s="282"/>
      <c r="D222" s="232">
        <f>D223+D229</f>
        <v>47.033499999999997</v>
      </c>
      <c r="E222" s="232">
        <f t="shared" ref="E222:G222" si="30">E223+E229</f>
        <v>47.643699999999995</v>
      </c>
      <c r="F222" s="232">
        <f t="shared" si="30"/>
        <v>201.75380000000001</v>
      </c>
      <c r="G222" s="232">
        <f t="shared" si="30"/>
        <v>1475.1010000000001</v>
      </c>
    </row>
    <row r="223" spans="1:7" x14ac:dyDescent="0.2">
      <c r="A223" s="233"/>
      <c r="B223" s="258" t="s">
        <v>66</v>
      </c>
      <c r="C223" s="233"/>
      <c r="D223" s="232">
        <f>D224+D225+D226+D227</f>
        <v>15.64</v>
      </c>
      <c r="E223" s="232">
        <f t="shared" ref="E223:G223" si="31">E224+E225+E226+E227</f>
        <v>9.620000000000001</v>
      </c>
      <c r="F223" s="232">
        <f t="shared" si="31"/>
        <v>94.050000000000011</v>
      </c>
      <c r="G223" s="232">
        <f t="shared" si="31"/>
        <v>547.32500000000005</v>
      </c>
    </row>
    <row r="224" spans="1:7" x14ac:dyDescent="0.2">
      <c r="A224" s="235"/>
      <c r="B224" s="236" t="s">
        <v>41</v>
      </c>
      <c r="C224" s="235">
        <v>100</v>
      </c>
      <c r="D224" s="237">
        <v>0.4</v>
      </c>
      <c r="E224" s="237">
        <v>0</v>
      </c>
      <c r="F224" s="237">
        <v>9.8000000000000007</v>
      </c>
      <c r="G224" s="237">
        <v>42.84</v>
      </c>
    </row>
    <row r="225" spans="1:7" x14ac:dyDescent="0.2">
      <c r="A225" s="235" t="s">
        <v>200</v>
      </c>
      <c r="B225" s="236" t="s">
        <v>197</v>
      </c>
      <c r="C225" s="235">
        <v>203</v>
      </c>
      <c r="D225" s="237">
        <v>11.44</v>
      </c>
      <c r="E225" s="237">
        <v>9.2200000000000006</v>
      </c>
      <c r="F225" s="237">
        <v>49.65</v>
      </c>
      <c r="G225" s="237">
        <v>339.56</v>
      </c>
    </row>
    <row r="226" spans="1:7" x14ac:dyDescent="0.2">
      <c r="A226" s="239" t="s">
        <v>182</v>
      </c>
      <c r="B226" s="236" t="s">
        <v>10</v>
      </c>
      <c r="C226" s="239">
        <v>200</v>
      </c>
      <c r="D226" s="237">
        <v>0</v>
      </c>
      <c r="E226" s="237">
        <v>0</v>
      </c>
      <c r="F226" s="237">
        <v>10</v>
      </c>
      <c r="G226" s="237">
        <v>42</v>
      </c>
    </row>
    <row r="227" spans="1:7" x14ac:dyDescent="0.2">
      <c r="A227" s="235"/>
      <c r="B227" s="236" t="s">
        <v>11</v>
      </c>
      <c r="C227" s="235">
        <v>50</v>
      </c>
      <c r="D227" s="237">
        <f>3.04*1.25</f>
        <v>3.8</v>
      </c>
      <c r="E227" s="237">
        <f>0.32*1.25</f>
        <v>0.4</v>
      </c>
      <c r="F227" s="237">
        <f>19.68*1.25</f>
        <v>24.6</v>
      </c>
      <c r="G227" s="237">
        <f>98.34*1.25</f>
        <v>122.92500000000001</v>
      </c>
    </row>
    <row r="228" spans="1:7" x14ac:dyDescent="0.2">
      <c r="A228" s="270" t="s">
        <v>252</v>
      </c>
      <c r="B228" s="271"/>
      <c r="C228" s="233">
        <f>SUM(C224:C227)</f>
        <v>553</v>
      </c>
      <c r="D228" s="237"/>
      <c r="E228" s="237"/>
      <c r="F228" s="237"/>
      <c r="G228" s="237"/>
    </row>
    <row r="229" spans="1:7" x14ac:dyDescent="0.2">
      <c r="A229" s="235"/>
      <c r="B229" s="259" t="s">
        <v>67</v>
      </c>
      <c r="C229" s="233"/>
      <c r="D229" s="232">
        <f>D230+D231+D232+D233+D234</f>
        <v>31.393499999999996</v>
      </c>
      <c r="E229" s="232">
        <f t="shared" ref="E229:G229" si="32">E230+E231+E232+E233+E234</f>
        <v>38.023699999999998</v>
      </c>
      <c r="F229" s="232">
        <f t="shared" si="32"/>
        <v>107.7038</v>
      </c>
      <c r="G229" s="232">
        <f t="shared" si="32"/>
        <v>927.77599999999995</v>
      </c>
    </row>
    <row r="230" spans="1:7" x14ac:dyDescent="0.2">
      <c r="A230" s="235" t="s">
        <v>190</v>
      </c>
      <c r="B230" s="236" t="s">
        <v>152</v>
      </c>
      <c r="C230" s="235">
        <v>100</v>
      </c>
      <c r="D230" s="237">
        <f>0.8*1.67</f>
        <v>1.3360000000000001</v>
      </c>
      <c r="E230" s="237">
        <f>3.11*1.67</f>
        <v>5.1936999999999998</v>
      </c>
      <c r="F230" s="237">
        <f>5.64*1.67</f>
        <v>9.4187999999999992</v>
      </c>
      <c r="G230" s="237">
        <f>55.8*1.67</f>
        <v>93.185999999999993</v>
      </c>
    </row>
    <row r="231" spans="1:7" ht="25.5" x14ac:dyDescent="0.2">
      <c r="A231" s="235" t="s">
        <v>186</v>
      </c>
      <c r="B231" s="236" t="s">
        <v>149</v>
      </c>
      <c r="C231" s="235">
        <v>260</v>
      </c>
      <c r="D231" s="237">
        <f>6.51*1.25</f>
        <v>8.1374999999999993</v>
      </c>
      <c r="E231" s="237">
        <f>12.28*1.25</f>
        <v>15.35</v>
      </c>
      <c r="F231" s="237">
        <f>18.94*1.25</f>
        <v>23.675000000000001</v>
      </c>
      <c r="G231" s="237">
        <v>271.76</v>
      </c>
    </row>
    <row r="232" spans="1:7" x14ac:dyDescent="0.2">
      <c r="A232" s="238" t="s">
        <v>188</v>
      </c>
      <c r="B232" s="236" t="s">
        <v>139</v>
      </c>
      <c r="C232" s="235">
        <v>200</v>
      </c>
      <c r="D232" s="237">
        <v>17.73</v>
      </c>
      <c r="E232" s="237">
        <v>17.16</v>
      </c>
      <c r="F232" s="237">
        <v>42.9</v>
      </c>
      <c r="G232" s="237">
        <v>409.09</v>
      </c>
    </row>
    <row r="233" spans="1:7" x14ac:dyDescent="0.2">
      <c r="A233" s="238" t="s">
        <v>42</v>
      </c>
      <c r="B233" s="236" t="s">
        <v>223</v>
      </c>
      <c r="C233" s="235">
        <v>200</v>
      </c>
      <c r="D233" s="237">
        <f>1.15</f>
        <v>1.1499999999999999</v>
      </c>
      <c r="E233" s="237"/>
      <c r="F233" s="237">
        <v>12.03</v>
      </c>
      <c r="G233" s="237">
        <v>55.4</v>
      </c>
    </row>
    <row r="234" spans="1:7" x14ac:dyDescent="0.2">
      <c r="A234" s="235"/>
      <c r="B234" s="236" t="s">
        <v>11</v>
      </c>
      <c r="C234" s="235">
        <v>40</v>
      </c>
      <c r="D234" s="237">
        <v>3.04</v>
      </c>
      <c r="E234" s="237">
        <v>0.32</v>
      </c>
      <c r="F234" s="237">
        <v>19.68</v>
      </c>
      <c r="G234" s="237">
        <v>98.34</v>
      </c>
    </row>
    <row r="235" spans="1:7" x14ac:dyDescent="0.2">
      <c r="A235" s="270" t="s">
        <v>252</v>
      </c>
      <c r="B235" s="271"/>
      <c r="C235" s="233">
        <f>SUM(C230:C234)</f>
        <v>800</v>
      </c>
      <c r="D235" s="237"/>
      <c r="E235" s="237"/>
      <c r="F235" s="237"/>
      <c r="G235" s="237"/>
    </row>
    <row r="236" spans="1:7" x14ac:dyDescent="0.2">
      <c r="A236" s="280" t="s">
        <v>280</v>
      </c>
      <c r="B236" s="281"/>
      <c r="C236" s="282"/>
      <c r="D236" s="232">
        <f>D237+D243</f>
        <v>37.306899999999999</v>
      </c>
      <c r="E236" s="232">
        <f t="shared" ref="E236:G236" si="33">E237+E243</f>
        <v>43.447599999999994</v>
      </c>
      <c r="F236" s="232">
        <f t="shared" si="33"/>
        <v>226.4316</v>
      </c>
      <c r="G236" s="232">
        <f t="shared" si="33"/>
        <v>1498.675</v>
      </c>
    </row>
    <row r="237" spans="1:7" x14ac:dyDescent="0.2">
      <c r="A237" s="233"/>
      <c r="B237" s="258" t="s">
        <v>66</v>
      </c>
      <c r="C237" s="233"/>
      <c r="D237" s="232">
        <f>D238+D239+D240+D241</f>
        <v>13.350000000000001</v>
      </c>
      <c r="E237" s="232">
        <f t="shared" ref="E237:G237" si="34">E238+E239+E240+E241</f>
        <v>6.7600000000000007</v>
      </c>
      <c r="F237" s="232">
        <f t="shared" si="34"/>
        <v>93.52000000000001</v>
      </c>
      <c r="G237" s="232">
        <f t="shared" si="34"/>
        <v>510.75500000000005</v>
      </c>
    </row>
    <row r="238" spans="1:7" x14ac:dyDescent="0.2">
      <c r="A238" s="235"/>
      <c r="B238" s="236" t="s">
        <v>41</v>
      </c>
      <c r="C238" s="235">
        <v>100</v>
      </c>
      <c r="D238" s="237">
        <v>0.4</v>
      </c>
      <c r="E238" s="237">
        <v>0</v>
      </c>
      <c r="F238" s="237">
        <v>9.8000000000000007</v>
      </c>
      <c r="G238" s="237">
        <v>42.84</v>
      </c>
    </row>
    <row r="239" spans="1:7" ht="25.5" x14ac:dyDescent="0.2">
      <c r="A239" s="235" t="s">
        <v>180</v>
      </c>
      <c r="B239" s="236" t="s">
        <v>209</v>
      </c>
      <c r="C239" s="235">
        <v>203</v>
      </c>
      <c r="D239" s="237">
        <v>7.16</v>
      </c>
      <c r="E239" s="237">
        <v>4.66</v>
      </c>
      <c r="F239" s="237">
        <v>40.520000000000003</v>
      </c>
      <c r="G239" s="237">
        <v>242.96</v>
      </c>
    </row>
    <row r="240" spans="1:7" x14ac:dyDescent="0.2">
      <c r="A240" s="235" t="s">
        <v>183</v>
      </c>
      <c r="B240" s="236" t="s">
        <v>51</v>
      </c>
      <c r="C240" s="235">
        <v>200</v>
      </c>
      <c r="D240" s="237">
        <v>1.99</v>
      </c>
      <c r="E240" s="237">
        <v>1.7</v>
      </c>
      <c r="F240" s="237">
        <v>18.600000000000001</v>
      </c>
      <c r="G240" s="237">
        <v>102.03</v>
      </c>
    </row>
    <row r="241" spans="1:7" x14ac:dyDescent="0.2">
      <c r="A241" s="239"/>
      <c r="B241" s="236" t="s">
        <v>11</v>
      </c>
      <c r="C241" s="235">
        <v>50</v>
      </c>
      <c r="D241" s="237">
        <f>3.04*1.25</f>
        <v>3.8</v>
      </c>
      <c r="E241" s="237">
        <f>0.32*1.25</f>
        <v>0.4</v>
      </c>
      <c r="F241" s="237">
        <f>19.68*1.25</f>
        <v>24.6</v>
      </c>
      <c r="G241" s="237">
        <f>98.34*1.25</f>
        <v>122.92500000000001</v>
      </c>
    </row>
    <row r="242" spans="1:7" x14ac:dyDescent="0.2">
      <c r="A242" s="270" t="s">
        <v>252</v>
      </c>
      <c r="B242" s="271"/>
      <c r="C242" s="240">
        <f>SUM(C238:C241)</f>
        <v>553</v>
      </c>
      <c r="D242" s="241"/>
      <c r="E242" s="241"/>
      <c r="F242" s="241"/>
      <c r="G242" s="241"/>
    </row>
    <row r="243" spans="1:7" x14ac:dyDescent="0.2">
      <c r="A243" s="238"/>
      <c r="B243" s="259" t="s">
        <v>67</v>
      </c>
      <c r="C243" s="240"/>
      <c r="D243" s="248">
        <f>D244+D245+D246+D247+D248+D249</f>
        <v>23.956900000000001</v>
      </c>
      <c r="E243" s="248">
        <f t="shared" ref="E243:G243" si="35">E244+E245+E246+E247+E248+E249</f>
        <v>36.687599999999996</v>
      </c>
      <c r="F243" s="248">
        <f t="shared" si="35"/>
        <v>132.91159999999999</v>
      </c>
      <c r="G243" s="248">
        <f t="shared" si="35"/>
        <v>987.92</v>
      </c>
    </row>
    <row r="244" spans="1:7" x14ac:dyDescent="0.2">
      <c r="A244" s="235" t="s">
        <v>192</v>
      </c>
      <c r="B244" s="236" t="s">
        <v>137</v>
      </c>
      <c r="C244" s="235">
        <v>100</v>
      </c>
      <c r="D244" s="237">
        <f>0.94*1.66</f>
        <v>1.5603999999999998</v>
      </c>
      <c r="E244" s="237">
        <f>4.06*1.66</f>
        <v>6.7395999999999994</v>
      </c>
      <c r="F244" s="237">
        <f>5.96*1.66</f>
        <v>9.8935999999999993</v>
      </c>
      <c r="G244" s="237">
        <v>108.76</v>
      </c>
    </row>
    <row r="245" spans="1:7" ht="25.5" x14ac:dyDescent="0.2">
      <c r="A245" s="235" t="s">
        <v>185</v>
      </c>
      <c r="B245" s="236" t="s">
        <v>141</v>
      </c>
      <c r="C245" s="235">
        <v>255</v>
      </c>
      <c r="D245" s="237">
        <f>2.57*1.25</f>
        <v>3.2124999999999999</v>
      </c>
      <c r="E245" s="237">
        <f>9.24*1.25</f>
        <v>11.55</v>
      </c>
      <c r="F245" s="237">
        <f>18.04*1.25</f>
        <v>22.549999999999997</v>
      </c>
      <c r="G245" s="237">
        <f>169.72*1.25</f>
        <v>212.15</v>
      </c>
    </row>
    <row r="246" spans="1:7" x14ac:dyDescent="0.2">
      <c r="A246" s="235" t="s">
        <v>228</v>
      </c>
      <c r="B246" s="236" t="s">
        <v>151</v>
      </c>
      <c r="C246" s="235">
        <v>105</v>
      </c>
      <c r="D246" s="237">
        <v>6.14</v>
      </c>
      <c r="E246" s="237">
        <v>11.91</v>
      </c>
      <c r="F246" s="237">
        <v>10.92</v>
      </c>
      <c r="G246" s="237">
        <v>178.84</v>
      </c>
    </row>
    <row r="247" spans="1:7" x14ac:dyDescent="0.2">
      <c r="A247" s="238" t="s">
        <v>38</v>
      </c>
      <c r="B247" s="236" t="s">
        <v>36</v>
      </c>
      <c r="C247" s="235">
        <v>180</v>
      </c>
      <c r="D247" s="237">
        <f>8.77*1.2</f>
        <v>10.523999999999999</v>
      </c>
      <c r="E247" s="237">
        <f>5.19*1.2</f>
        <v>6.2280000000000006</v>
      </c>
      <c r="F247" s="237">
        <f>39.6*1.23</f>
        <v>48.707999999999998</v>
      </c>
      <c r="G247" s="237">
        <v>304</v>
      </c>
    </row>
    <row r="248" spans="1:7" ht="25.5" x14ac:dyDescent="0.2">
      <c r="A248" s="235" t="s">
        <v>42</v>
      </c>
      <c r="B248" s="236" t="s">
        <v>224</v>
      </c>
      <c r="C248" s="235">
        <v>200</v>
      </c>
      <c r="D248" s="237">
        <v>1</v>
      </c>
      <c r="E248" s="237">
        <v>0.1</v>
      </c>
      <c r="F248" s="237">
        <v>31</v>
      </c>
      <c r="G248" s="237">
        <v>135</v>
      </c>
    </row>
    <row r="249" spans="1:7" x14ac:dyDescent="0.2">
      <c r="A249" s="235"/>
      <c r="B249" s="236" t="s">
        <v>11</v>
      </c>
      <c r="C249" s="235">
        <v>20</v>
      </c>
      <c r="D249" s="237">
        <v>1.52</v>
      </c>
      <c r="E249" s="237">
        <v>0.16</v>
      </c>
      <c r="F249" s="237">
        <v>9.84</v>
      </c>
      <c r="G249" s="237">
        <v>49.17</v>
      </c>
    </row>
    <row r="250" spans="1:7" x14ac:dyDescent="0.2">
      <c r="A250" s="270" t="s">
        <v>252</v>
      </c>
      <c r="B250" s="271"/>
      <c r="C250" s="233">
        <f>SUM(C244:C249)</f>
        <v>860</v>
      </c>
      <c r="D250" s="237"/>
      <c r="E250" s="237"/>
      <c r="F250" s="237"/>
      <c r="G250" s="237"/>
    </row>
    <row r="251" spans="1:7" x14ac:dyDescent="0.2">
      <c r="A251" s="269" t="s">
        <v>281</v>
      </c>
      <c r="B251" s="269"/>
      <c r="C251" s="269"/>
      <c r="D251" s="232">
        <f>D252+D258</f>
        <v>41.714439999999996</v>
      </c>
      <c r="E251" s="232">
        <f t="shared" ref="E251:G251" si="36">E252+E258</f>
        <v>50.620459999999994</v>
      </c>
      <c r="F251" s="232">
        <f t="shared" si="36"/>
        <v>221.21628000000001</v>
      </c>
      <c r="G251" s="232">
        <f t="shared" si="36"/>
        <v>1560.4485</v>
      </c>
    </row>
    <row r="252" spans="1:7" x14ac:dyDescent="0.2">
      <c r="A252" s="233"/>
      <c r="B252" s="258" t="s">
        <v>66</v>
      </c>
      <c r="C252" s="233"/>
      <c r="D252" s="232">
        <f>D253+D254+D255+D256</f>
        <v>15.162499999999998</v>
      </c>
      <c r="E252" s="232">
        <f t="shared" ref="E252:G252" si="37">E253+E254+E255+E256</f>
        <v>24.3675</v>
      </c>
      <c r="F252" s="232">
        <f t="shared" si="37"/>
        <v>128.32750000000001</v>
      </c>
      <c r="G252" s="232">
        <f t="shared" si="37"/>
        <v>821.98</v>
      </c>
    </row>
    <row r="253" spans="1:7" ht="25.5" x14ac:dyDescent="0.2">
      <c r="A253" s="235" t="s">
        <v>180</v>
      </c>
      <c r="B253" s="236" t="s">
        <v>206</v>
      </c>
      <c r="C253" s="235">
        <v>253</v>
      </c>
      <c r="D253" s="237">
        <f>7.81*1.25</f>
        <v>9.7624999999999993</v>
      </c>
      <c r="E253" s="237">
        <f>4.55*1.25</f>
        <v>5.6875</v>
      </c>
      <c r="F253" s="237">
        <f>33.47*1.25</f>
        <v>41.837499999999999</v>
      </c>
      <c r="G253" s="237">
        <v>267.91000000000003</v>
      </c>
    </row>
    <row r="254" spans="1:7" x14ac:dyDescent="0.2">
      <c r="A254" s="235"/>
      <c r="B254" s="236" t="s">
        <v>201</v>
      </c>
      <c r="C254" s="244">
        <v>60</v>
      </c>
      <c r="D254" s="237">
        <v>2.34</v>
      </c>
      <c r="E254" s="237">
        <v>18.36</v>
      </c>
      <c r="F254" s="237">
        <v>37.5</v>
      </c>
      <c r="G254" s="237">
        <v>332.57</v>
      </c>
    </row>
    <row r="255" spans="1:7" ht="25.5" x14ac:dyDescent="0.2">
      <c r="A255" s="238" t="s">
        <v>40</v>
      </c>
      <c r="B255" s="236" t="s">
        <v>225</v>
      </c>
      <c r="C255" s="235">
        <v>200</v>
      </c>
      <c r="D255" s="237">
        <v>0.02</v>
      </c>
      <c r="E255" s="237"/>
      <c r="F255" s="237">
        <v>29.31</v>
      </c>
      <c r="G255" s="237">
        <v>123.16</v>
      </c>
    </row>
    <row r="256" spans="1:7" x14ac:dyDescent="0.2">
      <c r="A256" s="235"/>
      <c r="B256" s="236" t="s">
        <v>11</v>
      </c>
      <c r="C256" s="235">
        <v>40</v>
      </c>
      <c r="D256" s="237">
        <v>3.04</v>
      </c>
      <c r="E256" s="237">
        <v>0.32</v>
      </c>
      <c r="F256" s="237">
        <v>19.68</v>
      </c>
      <c r="G256" s="237">
        <v>98.34</v>
      </c>
    </row>
    <row r="257" spans="1:7" x14ac:dyDescent="0.2">
      <c r="A257" s="270" t="s">
        <v>252</v>
      </c>
      <c r="B257" s="271"/>
      <c r="C257" s="240">
        <f>SUM(C253:C256)</f>
        <v>553</v>
      </c>
      <c r="D257" s="241"/>
      <c r="E257" s="241"/>
      <c r="F257" s="241"/>
      <c r="G257" s="241"/>
    </row>
    <row r="258" spans="1:7" x14ac:dyDescent="0.2">
      <c r="A258" s="235"/>
      <c r="B258" s="259" t="s">
        <v>67</v>
      </c>
      <c r="C258" s="240"/>
      <c r="D258" s="248">
        <f>D259+D260+D261+D262+D263</f>
        <v>26.551939999999998</v>
      </c>
      <c r="E258" s="248">
        <f t="shared" ref="E258:G258" si="38">E259+E260+E261+E262+E263</f>
        <v>26.252959999999998</v>
      </c>
      <c r="F258" s="248">
        <f t="shared" si="38"/>
        <v>92.888779999999997</v>
      </c>
      <c r="G258" s="248">
        <f t="shared" si="38"/>
        <v>738.46849999999995</v>
      </c>
    </row>
    <row r="259" spans="1:7" x14ac:dyDescent="0.2">
      <c r="A259" s="235" t="s">
        <v>68</v>
      </c>
      <c r="B259" s="236" t="s">
        <v>69</v>
      </c>
      <c r="C259" s="235">
        <v>100</v>
      </c>
      <c r="D259" s="237">
        <f>0.84*1.666</f>
        <v>1.3994399999999998</v>
      </c>
      <c r="E259" s="237">
        <f>3.06*1.666</f>
        <v>5.0979599999999996</v>
      </c>
      <c r="F259" s="237">
        <f>6.83*1.666</f>
        <v>11.378779999999999</v>
      </c>
      <c r="G259" s="237">
        <f>59.75*1.666</f>
        <v>99.543499999999995</v>
      </c>
    </row>
    <row r="260" spans="1:7" ht="25.5" x14ac:dyDescent="0.2">
      <c r="A260" s="238" t="s">
        <v>101</v>
      </c>
      <c r="B260" s="236" t="s">
        <v>172</v>
      </c>
      <c r="C260" s="235">
        <v>255</v>
      </c>
      <c r="D260" s="237">
        <f>5.81*1.25</f>
        <v>7.2624999999999993</v>
      </c>
      <c r="E260" s="237">
        <f>11.82*1.25</f>
        <v>14.775</v>
      </c>
      <c r="F260" s="237">
        <f>15.48*1.25</f>
        <v>19.350000000000001</v>
      </c>
      <c r="G260" s="237">
        <f>196*1.25</f>
        <v>245</v>
      </c>
    </row>
    <row r="261" spans="1:7" x14ac:dyDescent="0.2">
      <c r="A261" s="235" t="s">
        <v>229</v>
      </c>
      <c r="B261" s="236" t="s">
        <v>144</v>
      </c>
      <c r="C261" s="235">
        <v>200</v>
      </c>
      <c r="D261" s="237">
        <v>14.09</v>
      </c>
      <c r="E261" s="237">
        <v>5.98</v>
      </c>
      <c r="F261" s="237">
        <v>27.56</v>
      </c>
      <c r="G261" s="237">
        <v>229</v>
      </c>
    </row>
    <row r="262" spans="1:7" x14ac:dyDescent="0.2">
      <c r="A262" s="239" t="s">
        <v>182</v>
      </c>
      <c r="B262" s="236" t="s">
        <v>10</v>
      </c>
      <c r="C262" s="239">
        <v>200</v>
      </c>
      <c r="D262" s="237">
        <v>0</v>
      </c>
      <c r="E262" s="237">
        <v>0</v>
      </c>
      <c r="F262" s="237">
        <v>10</v>
      </c>
      <c r="G262" s="237">
        <v>42</v>
      </c>
    </row>
    <row r="263" spans="1:7" x14ac:dyDescent="0.2">
      <c r="A263" s="239"/>
      <c r="B263" s="236" t="s">
        <v>11</v>
      </c>
      <c r="C263" s="235">
        <v>50</v>
      </c>
      <c r="D263" s="237">
        <f>3.04*1.25</f>
        <v>3.8</v>
      </c>
      <c r="E263" s="237">
        <f>0.32*1.25</f>
        <v>0.4</v>
      </c>
      <c r="F263" s="237">
        <f>19.68*1.25</f>
        <v>24.6</v>
      </c>
      <c r="G263" s="237">
        <f>98.34*1.25</f>
        <v>122.92500000000001</v>
      </c>
    </row>
    <row r="264" spans="1:7" x14ac:dyDescent="0.2">
      <c r="A264" s="270" t="s">
        <v>252</v>
      </c>
      <c r="B264" s="271"/>
      <c r="C264" s="245">
        <f>SUM(C259:C263)</f>
        <v>805</v>
      </c>
      <c r="D264" s="237"/>
      <c r="E264" s="237"/>
      <c r="F264" s="237"/>
      <c r="G264" s="237"/>
    </row>
    <row r="265" spans="1:7" x14ac:dyDescent="0.2">
      <c r="A265" s="280" t="s">
        <v>282</v>
      </c>
      <c r="B265" s="281"/>
      <c r="C265" s="282"/>
      <c r="D265" s="232">
        <f>D266+D272</f>
        <v>38.848399999999998</v>
      </c>
      <c r="E265" s="232">
        <f t="shared" ref="E265:G265" si="39">E266+E272</f>
        <v>32.630200000000002</v>
      </c>
      <c r="F265" s="232">
        <f t="shared" si="39"/>
        <v>211.98640000000003</v>
      </c>
      <c r="G265" s="232">
        <f t="shared" si="39"/>
        <v>1347.9306999999999</v>
      </c>
    </row>
    <row r="266" spans="1:7" x14ac:dyDescent="0.2">
      <c r="A266" s="233"/>
      <c r="B266" s="258" t="s">
        <v>66</v>
      </c>
      <c r="C266" s="233"/>
      <c r="D266" s="232">
        <f>D267+D268+D269+D270</f>
        <v>12.399999999999999</v>
      </c>
      <c r="E266" s="232">
        <f t="shared" ref="E266:G266" si="40">E267+E268+E269+E270</f>
        <v>10.6</v>
      </c>
      <c r="F266" s="232">
        <f t="shared" si="40"/>
        <v>94.420000000000016</v>
      </c>
      <c r="G266" s="232">
        <f t="shared" si="40"/>
        <v>544.08500000000004</v>
      </c>
    </row>
    <row r="267" spans="1:7" x14ac:dyDescent="0.2">
      <c r="A267" s="235"/>
      <c r="B267" s="236" t="s">
        <v>41</v>
      </c>
      <c r="C267" s="235">
        <v>100</v>
      </c>
      <c r="D267" s="237">
        <v>0.4</v>
      </c>
      <c r="E267" s="237">
        <v>0</v>
      </c>
      <c r="F267" s="237">
        <v>9.8000000000000007</v>
      </c>
      <c r="G267" s="237">
        <v>42.84</v>
      </c>
    </row>
    <row r="268" spans="1:7" ht="25.5" x14ac:dyDescent="0.2">
      <c r="A268" s="235" t="s">
        <v>180</v>
      </c>
      <c r="B268" s="236" t="s">
        <v>205</v>
      </c>
      <c r="C268" s="235">
        <v>203</v>
      </c>
      <c r="D268" s="237">
        <v>8.1999999999999993</v>
      </c>
      <c r="E268" s="237">
        <v>10.199999999999999</v>
      </c>
      <c r="F268" s="237">
        <v>50.02</v>
      </c>
      <c r="G268" s="237">
        <v>336.32</v>
      </c>
    </row>
    <row r="269" spans="1:7" x14ac:dyDescent="0.2">
      <c r="A269" s="235" t="s">
        <v>182</v>
      </c>
      <c r="B269" s="236" t="s">
        <v>10</v>
      </c>
      <c r="C269" s="235">
        <v>200</v>
      </c>
      <c r="D269" s="237">
        <v>0</v>
      </c>
      <c r="E269" s="237">
        <v>0</v>
      </c>
      <c r="F269" s="237">
        <v>10</v>
      </c>
      <c r="G269" s="237">
        <v>42</v>
      </c>
    </row>
    <row r="270" spans="1:7" x14ac:dyDescent="0.2">
      <c r="A270" s="239"/>
      <c r="B270" s="236" t="s">
        <v>11</v>
      </c>
      <c r="C270" s="235">
        <v>50</v>
      </c>
      <c r="D270" s="237">
        <f>3.04*1.25</f>
        <v>3.8</v>
      </c>
      <c r="E270" s="237">
        <f>0.32*1.25</f>
        <v>0.4</v>
      </c>
      <c r="F270" s="237">
        <f>19.68*1.25</f>
        <v>24.6</v>
      </c>
      <c r="G270" s="237">
        <f>98.34*1.25</f>
        <v>122.92500000000001</v>
      </c>
    </row>
    <row r="271" spans="1:7" x14ac:dyDescent="0.2">
      <c r="A271" s="270" t="s">
        <v>252</v>
      </c>
      <c r="B271" s="271"/>
      <c r="C271" s="261">
        <f>SUM(C267:C270)</f>
        <v>553</v>
      </c>
      <c r="D271" s="237"/>
      <c r="E271" s="237"/>
      <c r="F271" s="237"/>
      <c r="G271" s="237"/>
    </row>
    <row r="272" spans="1:7" x14ac:dyDescent="0.2">
      <c r="A272" s="239"/>
      <c r="B272" s="259" t="s">
        <v>67</v>
      </c>
      <c r="C272" s="257"/>
      <c r="D272" s="232">
        <f>D273+D274+D275+D276+D277</f>
        <v>26.448399999999999</v>
      </c>
      <c r="E272" s="232">
        <f t="shared" ref="E272:G272" si="41">E273+E274+E275+E276+E277</f>
        <v>22.030200000000001</v>
      </c>
      <c r="F272" s="232">
        <f t="shared" si="41"/>
        <v>117.56640000000002</v>
      </c>
      <c r="G272" s="232">
        <f t="shared" si="41"/>
        <v>803.84569999999997</v>
      </c>
    </row>
    <row r="273" spans="1:7" x14ac:dyDescent="0.2">
      <c r="A273" s="239" t="s">
        <v>193</v>
      </c>
      <c r="B273" s="236" t="s">
        <v>148</v>
      </c>
      <c r="C273" s="235">
        <v>100</v>
      </c>
      <c r="D273" s="237">
        <f>0.74*1.66</f>
        <v>1.2283999999999999</v>
      </c>
      <c r="E273" s="237">
        <f>0.06*1.67</f>
        <v>0.1002</v>
      </c>
      <c r="F273" s="237">
        <f>16.92*1.67</f>
        <v>28.256400000000003</v>
      </c>
      <c r="G273" s="237">
        <f>74.71*1.67</f>
        <v>124.76569999999998</v>
      </c>
    </row>
    <row r="274" spans="1:7" ht="25.5" x14ac:dyDescent="0.2">
      <c r="A274" s="235" t="s">
        <v>117</v>
      </c>
      <c r="B274" s="236" t="s">
        <v>145</v>
      </c>
      <c r="C274" s="235">
        <v>260</v>
      </c>
      <c r="D274" s="237">
        <f>2.64*1.25</f>
        <v>3.3000000000000003</v>
      </c>
      <c r="E274" s="237">
        <f>3.56*1.25</f>
        <v>4.45</v>
      </c>
      <c r="F274" s="237">
        <f>11.76*1.25</f>
        <v>14.7</v>
      </c>
      <c r="G274" s="237">
        <f>93*1.25</f>
        <v>116.25</v>
      </c>
    </row>
    <row r="275" spans="1:7" x14ac:dyDescent="0.2">
      <c r="A275" s="238" t="s">
        <v>188</v>
      </c>
      <c r="B275" s="236" t="s">
        <v>139</v>
      </c>
      <c r="C275" s="235">
        <v>200</v>
      </c>
      <c r="D275" s="237">
        <v>17.73</v>
      </c>
      <c r="E275" s="237">
        <v>17.16</v>
      </c>
      <c r="F275" s="237">
        <v>42.9</v>
      </c>
      <c r="G275" s="237">
        <v>409.09</v>
      </c>
    </row>
    <row r="276" spans="1:7" x14ac:dyDescent="0.2">
      <c r="A276" s="238" t="s">
        <v>42</v>
      </c>
      <c r="B276" s="236" t="s">
        <v>223</v>
      </c>
      <c r="C276" s="235">
        <v>200</v>
      </c>
      <c r="D276" s="237">
        <f>1.15</f>
        <v>1.1499999999999999</v>
      </c>
      <c r="E276" s="237"/>
      <c r="F276" s="237">
        <v>12.03</v>
      </c>
      <c r="G276" s="237">
        <v>55.4</v>
      </c>
    </row>
    <row r="277" spans="1:7" x14ac:dyDescent="0.2">
      <c r="A277" s="235"/>
      <c r="B277" s="236" t="s">
        <v>11</v>
      </c>
      <c r="C277" s="235">
        <v>40</v>
      </c>
      <c r="D277" s="237">
        <v>3.04</v>
      </c>
      <c r="E277" s="237">
        <v>0.32</v>
      </c>
      <c r="F277" s="237">
        <v>19.68</v>
      </c>
      <c r="G277" s="237">
        <v>98.34</v>
      </c>
    </row>
    <row r="278" spans="1:7" x14ac:dyDescent="0.2">
      <c r="A278" s="270" t="s">
        <v>252</v>
      </c>
      <c r="B278" s="271"/>
      <c r="C278" s="233">
        <f>SUM(C273:C277)</f>
        <v>800</v>
      </c>
      <c r="D278" s="237"/>
      <c r="E278" s="237"/>
      <c r="F278" s="237"/>
      <c r="G278" s="237"/>
    </row>
    <row r="279" spans="1:7" x14ac:dyDescent="0.2">
      <c r="A279" s="280" t="s">
        <v>285</v>
      </c>
      <c r="B279" s="281"/>
      <c r="C279" s="282"/>
      <c r="D279" s="232">
        <f>D280+D286</f>
        <v>36.102199999999996</v>
      </c>
      <c r="E279" s="232">
        <f t="shared" ref="E279:G279" si="42">E280+E286</f>
        <v>45.8827</v>
      </c>
      <c r="F279" s="232">
        <f t="shared" si="42"/>
        <v>213.52800000000002</v>
      </c>
      <c r="G279" s="232">
        <f t="shared" si="42"/>
        <v>1473.26674</v>
      </c>
    </row>
    <row r="280" spans="1:7" x14ac:dyDescent="0.2">
      <c r="A280" s="233"/>
      <c r="B280" s="258" t="s">
        <v>66</v>
      </c>
      <c r="C280" s="233"/>
      <c r="D280" s="232">
        <f>D281+D282+D283+D284</f>
        <v>16.22</v>
      </c>
      <c r="E280" s="232">
        <f t="shared" ref="E280:G280" si="43">E281+E282+E283+E284</f>
        <v>9.19</v>
      </c>
      <c r="F280" s="232">
        <f t="shared" si="43"/>
        <v>118.81</v>
      </c>
      <c r="G280" s="232">
        <f t="shared" si="43"/>
        <v>634.88100000000009</v>
      </c>
    </row>
    <row r="281" spans="1:7" x14ac:dyDescent="0.2">
      <c r="A281" s="238" t="s">
        <v>199</v>
      </c>
      <c r="B281" s="236" t="s">
        <v>196</v>
      </c>
      <c r="C281" s="235">
        <v>60</v>
      </c>
      <c r="D281" s="237">
        <v>4.91</v>
      </c>
      <c r="E281" s="237">
        <v>3.79</v>
      </c>
      <c r="F281" s="237">
        <v>36.090000000000003</v>
      </c>
      <c r="G281" s="237">
        <v>206.31</v>
      </c>
    </row>
    <row r="282" spans="1:7" ht="25.5" x14ac:dyDescent="0.2">
      <c r="A282" s="235" t="s">
        <v>180</v>
      </c>
      <c r="B282" s="236" t="s">
        <v>301</v>
      </c>
      <c r="C282" s="235">
        <v>253</v>
      </c>
      <c r="D282" s="237">
        <v>7.5</v>
      </c>
      <c r="E282" s="237">
        <v>5</v>
      </c>
      <c r="F282" s="237">
        <v>42.5</v>
      </c>
      <c r="G282" s="237">
        <v>240</v>
      </c>
    </row>
    <row r="283" spans="1:7" x14ac:dyDescent="0.2">
      <c r="A283" s="238" t="s">
        <v>231</v>
      </c>
      <c r="B283" s="236" t="s">
        <v>160</v>
      </c>
      <c r="C283" s="235">
        <v>200</v>
      </c>
      <c r="D283" s="237">
        <v>0.01</v>
      </c>
      <c r="E283" s="237"/>
      <c r="F283" s="237">
        <v>15.62</v>
      </c>
      <c r="G283" s="237">
        <v>65.646000000000001</v>
      </c>
    </row>
    <row r="284" spans="1:7" x14ac:dyDescent="0.2">
      <c r="A284" s="238"/>
      <c r="B284" s="236" t="s">
        <v>11</v>
      </c>
      <c r="C284" s="235">
        <v>50</v>
      </c>
      <c r="D284" s="237">
        <f>3.04*1.25</f>
        <v>3.8</v>
      </c>
      <c r="E284" s="237">
        <f>0.32*1.25</f>
        <v>0.4</v>
      </c>
      <c r="F284" s="237">
        <f>19.68*1.25</f>
        <v>24.6</v>
      </c>
      <c r="G284" s="237">
        <f>98.34*1.25</f>
        <v>122.92500000000001</v>
      </c>
    </row>
    <row r="285" spans="1:7" x14ac:dyDescent="0.2">
      <c r="A285" s="270" t="s">
        <v>252</v>
      </c>
      <c r="B285" s="271"/>
      <c r="C285" s="233">
        <f>SUM(C281:C284)</f>
        <v>563</v>
      </c>
      <c r="D285" s="237"/>
      <c r="E285" s="237"/>
      <c r="F285" s="237"/>
      <c r="G285" s="237"/>
    </row>
    <row r="286" spans="1:7" x14ac:dyDescent="0.2">
      <c r="A286" s="235"/>
      <c r="B286" s="259" t="s">
        <v>67</v>
      </c>
      <c r="C286" s="233"/>
      <c r="D286" s="232">
        <f>D287+D288+D289+D290+D291+D292</f>
        <v>19.882199999999997</v>
      </c>
      <c r="E286" s="232">
        <f t="shared" ref="E286:G286" si="44">E287+E288+E289+E290+E291+E292</f>
        <v>36.692700000000002</v>
      </c>
      <c r="F286" s="232">
        <f t="shared" si="44"/>
        <v>94.718000000000004</v>
      </c>
      <c r="G286" s="232">
        <f t="shared" si="44"/>
        <v>838.38573999999994</v>
      </c>
    </row>
    <row r="287" spans="1:7" x14ac:dyDescent="0.2">
      <c r="A287" s="235" t="s">
        <v>190</v>
      </c>
      <c r="B287" s="236" t="s">
        <v>152</v>
      </c>
      <c r="C287" s="235">
        <v>100</v>
      </c>
      <c r="D287" s="237">
        <f>0.8*1.67</f>
        <v>1.3360000000000001</v>
      </c>
      <c r="E287" s="237">
        <f>3.11*1.67</f>
        <v>5.1936999999999998</v>
      </c>
      <c r="F287" s="237">
        <f>5.64*1.67</f>
        <v>9.4187999999999992</v>
      </c>
      <c r="G287" s="237">
        <f>55.8*1.67</f>
        <v>93.185999999999993</v>
      </c>
    </row>
    <row r="288" spans="1:7" ht="25.5" x14ac:dyDescent="0.2">
      <c r="A288" s="235" t="s">
        <v>124</v>
      </c>
      <c r="B288" s="236" t="s">
        <v>156</v>
      </c>
      <c r="C288" s="235">
        <v>255</v>
      </c>
      <c r="D288" s="237">
        <f>3.96*1.25</f>
        <v>4.95</v>
      </c>
      <c r="E288" s="237">
        <f>4.86*1.25</f>
        <v>6.0750000000000002</v>
      </c>
      <c r="F288" s="237">
        <f>17.01*1.25</f>
        <v>21.262500000000003</v>
      </c>
      <c r="G288" s="237">
        <f>131.81*1.254</f>
        <v>165.28973999999999</v>
      </c>
    </row>
    <row r="289" spans="1:7" x14ac:dyDescent="0.2">
      <c r="A289" s="238" t="s">
        <v>162</v>
      </c>
      <c r="B289" s="236" t="s">
        <v>163</v>
      </c>
      <c r="C289" s="244">
        <v>110</v>
      </c>
      <c r="D289" s="237">
        <v>9.15</v>
      </c>
      <c r="E289" s="237">
        <v>14.97</v>
      </c>
      <c r="F289" s="237">
        <v>10.6</v>
      </c>
      <c r="G289" s="237">
        <v>217.68</v>
      </c>
    </row>
    <row r="290" spans="1:7" x14ac:dyDescent="0.2">
      <c r="A290" s="235" t="s">
        <v>34</v>
      </c>
      <c r="B290" s="236" t="s">
        <v>32</v>
      </c>
      <c r="C290" s="235">
        <v>200</v>
      </c>
      <c r="D290" s="237">
        <v>3.26</v>
      </c>
      <c r="E290" s="237">
        <f>7.8*1.33</f>
        <v>10.374000000000001</v>
      </c>
      <c r="F290" s="237">
        <f>21.99*1.33</f>
        <v>29.246700000000001</v>
      </c>
      <c r="G290" s="237">
        <v>234.48</v>
      </c>
    </row>
    <row r="291" spans="1:7" x14ac:dyDescent="0.2">
      <c r="A291" s="235" t="s">
        <v>194</v>
      </c>
      <c r="B291" s="236" t="s">
        <v>90</v>
      </c>
      <c r="C291" s="235">
        <v>200</v>
      </c>
      <c r="D291" s="237">
        <f>0.14*1.33</f>
        <v>0.18620000000000003</v>
      </c>
      <c r="E291" s="237"/>
      <c r="F291" s="237">
        <v>16.190000000000001</v>
      </c>
      <c r="G291" s="237">
        <v>89.23</v>
      </c>
    </row>
    <row r="292" spans="1:7" x14ac:dyDescent="0.2">
      <c r="A292" s="239"/>
      <c r="B292" s="236" t="s">
        <v>37</v>
      </c>
      <c r="C292" s="235">
        <v>20</v>
      </c>
      <c r="D292" s="237">
        <v>1</v>
      </c>
      <c r="E292" s="237">
        <v>0.08</v>
      </c>
      <c r="F292" s="237">
        <v>8</v>
      </c>
      <c r="G292" s="237">
        <v>38.520000000000003</v>
      </c>
    </row>
    <row r="293" spans="1:7" x14ac:dyDescent="0.2">
      <c r="A293" s="270" t="s">
        <v>252</v>
      </c>
      <c r="B293" s="271"/>
      <c r="C293" s="233">
        <f>SUM(C287:C292)</f>
        <v>885</v>
      </c>
      <c r="D293" s="237"/>
      <c r="E293" s="237"/>
      <c r="F293" s="237"/>
      <c r="G293" s="237"/>
    </row>
    <row r="294" spans="1:7" x14ac:dyDescent="0.2">
      <c r="A294" s="280" t="s">
        <v>286</v>
      </c>
      <c r="B294" s="281"/>
      <c r="C294" s="282"/>
      <c r="D294" s="232">
        <f>D295+D302</f>
        <v>61.54249999999999</v>
      </c>
      <c r="E294" s="232">
        <f t="shared" ref="E294:G294" si="45">E295+E302</f>
        <v>49.42</v>
      </c>
      <c r="F294" s="232">
        <f t="shared" si="45"/>
        <v>160.13249999999999</v>
      </c>
      <c r="G294" s="232">
        <f t="shared" si="45"/>
        <v>1361.607</v>
      </c>
    </row>
    <row r="295" spans="1:7" x14ac:dyDescent="0.2">
      <c r="A295" s="233"/>
      <c r="B295" s="258" t="s">
        <v>66</v>
      </c>
      <c r="C295" s="233"/>
      <c r="D295" s="232">
        <f>D296+D297+D298+D299+D300</f>
        <v>35.389999999999993</v>
      </c>
      <c r="E295" s="232">
        <f t="shared" ref="E295:G295" si="46">E296+E297+E298+E299+E300</f>
        <v>14.69</v>
      </c>
      <c r="F295" s="232">
        <f t="shared" si="46"/>
        <v>83.44</v>
      </c>
      <c r="G295" s="232">
        <f t="shared" si="46"/>
        <v>617.27200000000005</v>
      </c>
    </row>
    <row r="296" spans="1:7" x14ac:dyDescent="0.2">
      <c r="A296" s="235"/>
      <c r="B296" s="236" t="s">
        <v>168</v>
      </c>
      <c r="C296" s="235">
        <v>40</v>
      </c>
      <c r="D296" s="237">
        <v>5.08</v>
      </c>
      <c r="E296" s="237">
        <v>4.5999999999999996</v>
      </c>
      <c r="F296" s="237">
        <v>0.28000000000000003</v>
      </c>
      <c r="G296" s="237">
        <v>63.911999999999999</v>
      </c>
    </row>
    <row r="297" spans="1:7" x14ac:dyDescent="0.2">
      <c r="A297" s="235" t="s">
        <v>288</v>
      </c>
      <c r="B297" s="236" t="s">
        <v>287</v>
      </c>
      <c r="C297" s="235">
        <v>160</v>
      </c>
      <c r="D297" s="237">
        <v>26.83</v>
      </c>
      <c r="E297" s="237">
        <v>9.77</v>
      </c>
      <c r="F297" s="237">
        <v>42.7</v>
      </c>
      <c r="G297" s="237">
        <v>365.9</v>
      </c>
    </row>
    <row r="298" spans="1:7" x14ac:dyDescent="0.2">
      <c r="A298" s="235"/>
      <c r="B298" s="236" t="s">
        <v>41</v>
      </c>
      <c r="C298" s="235">
        <v>110</v>
      </c>
      <c r="D298" s="237">
        <v>0.44</v>
      </c>
      <c r="E298" s="237">
        <v>0</v>
      </c>
      <c r="F298" s="237">
        <v>10.78</v>
      </c>
      <c r="G298" s="237">
        <v>47.12</v>
      </c>
    </row>
    <row r="299" spans="1:7" x14ac:dyDescent="0.2">
      <c r="A299" s="235" t="s">
        <v>182</v>
      </c>
      <c r="B299" s="236" t="s">
        <v>10</v>
      </c>
      <c r="C299" s="239">
        <v>200</v>
      </c>
      <c r="D299" s="237">
        <v>0</v>
      </c>
      <c r="E299" s="237">
        <v>0</v>
      </c>
      <c r="F299" s="237">
        <v>10</v>
      </c>
      <c r="G299" s="237">
        <v>42</v>
      </c>
    </row>
    <row r="300" spans="1:7" x14ac:dyDescent="0.2">
      <c r="A300" s="235"/>
      <c r="B300" s="236" t="s">
        <v>11</v>
      </c>
      <c r="C300" s="235">
        <v>40</v>
      </c>
      <c r="D300" s="237">
        <v>3.04</v>
      </c>
      <c r="E300" s="237">
        <v>0.32</v>
      </c>
      <c r="F300" s="237">
        <v>19.68</v>
      </c>
      <c r="G300" s="237">
        <v>98.34</v>
      </c>
    </row>
    <row r="301" spans="1:7" x14ac:dyDescent="0.2">
      <c r="A301" s="270" t="s">
        <v>252</v>
      </c>
      <c r="B301" s="271"/>
      <c r="C301" s="245">
        <f>SUM(C296:C300)</f>
        <v>550</v>
      </c>
      <c r="D301" s="237"/>
      <c r="E301" s="237"/>
      <c r="F301" s="237"/>
      <c r="G301" s="237"/>
    </row>
    <row r="302" spans="1:7" x14ac:dyDescent="0.2">
      <c r="A302" s="235"/>
      <c r="B302" s="259" t="s">
        <v>67</v>
      </c>
      <c r="C302" s="233"/>
      <c r="D302" s="232">
        <f>D303+D304+D305+D306+D307</f>
        <v>26.1525</v>
      </c>
      <c r="E302" s="232">
        <f t="shared" ref="E302:G302" si="47">E303+E304+E305+E306+E307</f>
        <v>34.730000000000004</v>
      </c>
      <c r="F302" s="232">
        <f t="shared" si="47"/>
        <v>76.692499999999995</v>
      </c>
      <c r="G302" s="232">
        <f t="shared" si="47"/>
        <v>744.33500000000004</v>
      </c>
    </row>
    <row r="303" spans="1:7" x14ac:dyDescent="0.2">
      <c r="A303" s="235" t="s">
        <v>292</v>
      </c>
      <c r="B303" s="236" t="s">
        <v>291</v>
      </c>
      <c r="C303" s="235">
        <v>100</v>
      </c>
      <c r="D303" s="251">
        <v>0.8</v>
      </c>
      <c r="E303" s="237">
        <v>0</v>
      </c>
      <c r="F303" s="237">
        <v>1.7</v>
      </c>
      <c r="G303" s="237">
        <v>10</v>
      </c>
    </row>
    <row r="304" spans="1:7" x14ac:dyDescent="0.2">
      <c r="A304" s="238" t="s">
        <v>187</v>
      </c>
      <c r="B304" s="236" t="s">
        <v>161</v>
      </c>
      <c r="C304" s="235">
        <v>260</v>
      </c>
      <c r="D304" s="237">
        <f>4.65*1.25</f>
        <v>5.8125</v>
      </c>
      <c r="E304" s="237">
        <f>6.92*1.25</f>
        <v>8.65</v>
      </c>
      <c r="F304" s="237">
        <f>12.49*1.25</f>
        <v>15.612500000000001</v>
      </c>
      <c r="G304" s="237">
        <f>134.268*1.25</f>
        <v>167.83500000000001</v>
      </c>
    </row>
    <row r="305" spans="1:7" x14ac:dyDescent="0.2">
      <c r="A305" s="235" t="s">
        <v>234</v>
      </c>
      <c r="B305" s="236" t="s">
        <v>157</v>
      </c>
      <c r="C305" s="235">
        <v>200</v>
      </c>
      <c r="D305" s="237">
        <v>16.48</v>
      </c>
      <c r="E305" s="237">
        <v>25.76</v>
      </c>
      <c r="F305" s="237">
        <v>10.39</v>
      </c>
      <c r="G305" s="237">
        <v>345</v>
      </c>
    </row>
    <row r="306" spans="1:7" ht="25.5" x14ac:dyDescent="0.2">
      <c r="A306" s="238" t="s">
        <v>40</v>
      </c>
      <c r="B306" s="236" t="s">
        <v>225</v>
      </c>
      <c r="C306" s="235">
        <v>200</v>
      </c>
      <c r="D306" s="237">
        <v>0.02</v>
      </c>
      <c r="E306" s="237"/>
      <c r="F306" s="237">
        <v>29.31</v>
      </c>
      <c r="G306" s="237">
        <v>123.16</v>
      </c>
    </row>
    <row r="307" spans="1:7" x14ac:dyDescent="0.2">
      <c r="A307" s="235"/>
      <c r="B307" s="236" t="s">
        <v>11</v>
      </c>
      <c r="C307" s="235">
        <v>40</v>
      </c>
      <c r="D307" s="237">
        <v>3.04</v>
      </c>
      <c r="E307" s="237">
        <v>0.32</v>
      </c>
      <c r="F307" s="237">
        <v>19.68</v>
      </c>
      <c r="G307" s="237">
        <v>98.34</v>
      </c>
    </row>
    <row r="308" spans="1:7" x14ac:dyDescent="0.2">
      <c r="A308" s="270" t="s">
        <v>252</v>
      </c>
      <c r="B308" s="271"/>
      <c r="C308" s="233">
        <f>SUM(C303:C307)</f>
        <v>800</v>
      </c>
      <c r="D308" s="235"/>
      <c r="E308" s="235"/>
      <c r="F308" s="235"/>
      <c r="G308" s="235"/>
    </row>
  </sheetData>
  <mergeCells count="67">
    <mergeCell ref="A8:C8"/>
    <mergeCell ref="A18:B18"/>
    <mergeCell ref="A25:B25"/>
    <mergeCell ref="A32:B32"/>
    <mergeCell ref="A40:B40"/>
    <mergeCell ref="A99:C99"/>
    <mergeCell ref="A26:C26"/>
    <mergeCell ref="A41:C41"/>
    <mergeCell ref="A56:C56"/>
    <mergeCell ref="A70:C70"/>
    <mergeCell ref="A85:C85"/>
    <mergeCell ref="A47:B47"/>
    <mergeCell ref="A55:B55"/>
    <mergeCell ref="A62:B62"/>
    <mergeCell ref="A69:B69"/>
    <mergeCell ref="A76:B76"/>
    <mergeCell ref="A84:B84"/>
    <mergeCell ref="A91:B91"/>
    <mergeCell ref="A98:B98"/>
    <mergeCell ref="A1:G2"/>
    <mergeCell ref="A3:G4"/>
    <mergeCell ref="A5:A6"/>
    <mergeCell ref="B5:B6"/>
    <mergeCell ref="C5:C6"/>
    <mergeCell ref="D5:F5"/>
    <mergeCell ref="G5:G6"/>
    <mergeCell ref="A144:B144"/>
    <mergeCell ref="A152:B152"/>
    <mergeCell ref="A160:B160"/>
    <mergeCell ref="A105:B105"/>
    <mergeCell ref="A113:B113"/>
    <mergeCell ref="A120:B120"/>
    <mergeCell ref="A128:B128"/>
    <mergeCell ref="A136:B136"/>
    <mergeCell ref="A114:C114"/>
    <mergeCell ref="A129:C129"/>
    <mergeCell ref="A145:C145"/>
    <mergeCell ref="A161:C161"/>
    <mergeCell ref="A169:B169"/>
    <mergeCell ref="A177:B177"/>
    <mergeCell ref="A178:C178"/>
    <mergeCell ref="A184:B184"/>
    <mergeCell ref="A192:B192"/>
    <mergeCell ref="A193:C193"/>
    <mergeCell ref="A199:B199"/>
    <mergeCell ref="A206:B206"/>
    <mergeCell ref="A207:C207"/>
    <mergeCell ref="A213:B213"/>
    <mergeCell ref="A221:B221"/>
    <mergeCell ref="A222:C222"/>
    <mergeCell ref="A228:B228"/>
    <mergeCell ref="A235:B235"/>
    <mergeCell ref="A236:C236"/>
    <mergeCell ref="A242:B242"/>
    <mergeCell ref="A250:B250"/>
    <mergeCell ref="A251:C251"/>
    <mergeCell ref="A257:B257"/>
    <mergeCell ref="A264:B264"/>
    <mergeCell ref="A265:C265"/>
    <mergeCell ref="A271:B271"/>
    <mergeCell ref="A278:B278"/>
    <mergeCell ref="A279:C279"/>
    <mergeCell ref="A285:B285"/>
    <mergeCell ref="A293:B293"/>
    <mergeCell ref="A294:C294"/>
    <mergeCell ref="A301:B301"/>
    <mergeCell ref="A308:B308"/>
  </mergeCells>
  <pageMargins left="0.75" right="0.75" top="1" bottom="1" header="0.5" footer="0.5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219</v>
      </c>
      <c r="C1" s="292" t="s">
        <v>195</v>
      </c>
      <c r="D1" s="292"/>
      <c r="E1" s="292"/>
      <c r="F1" s="292"/>
      <c r="G1" s="292"/>
      <c r="H1" s="292"/>
      <c r="I1" s="292"/>
      <c r="J1" s="292"/>
    </row>
    <row r="2" spans="1:17" x14ac:dyDescent="0.2">
      <c r="B2" s="2" t="s">
        <v>217</v>
      </c>
      <c r="C2" s="293"/>
      <c r="D2" s="293"/>
      <c r="E2" s="293"/>
      <c r="F2" s="293"/>
      <c r="G2" s="293"/>
      <c r="H2" s="293"/>
      <c r="I2" s="293"/>
      <c r="J2" s="293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94" t="s">
        <v>16</v>
      </c>
      <c r="E3" s="295"/>
      <c r="F3" s="296"/>
      <c r="G3" s="297" t="s">
        <v>23</v>
      </c>
      <c r="H3" s="299" t="s">
        <v>53</v>
      </c>
      <c r="I3" s="300"/>
      <c r="J3" s="175" t="s">
        <v>52</v>
      </c>
      <c r="K3" s="287" t="s">
        <v>75</v>
      </c>
      <c r="L3" s="288"/>
      <c r="M3" s="288"/>
      <c r="N3" s="289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98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90" t="s">
        <v>13</v>
      </c>
      <c r="C6" s="291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301" t="s">
        <v>66</v>
      </c>
      <c r="C7" s="291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181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179</v>
      </c>
      <c r="B9" s="50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180</v>
      </c>
      <c r="B10" s="29" t="s">
        <v>203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183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302" t="s">
        <v>67</v>
      </c>
      <c r="C17" s="303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192</v>
      </c>
      <c r="B18" s="50" t="s">
        <v>137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184</v>
      </c>
      <c r="B19" s="29" t="s">
        <v>210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">
      <c r="A20" s="158" t="s">
        <v>188</v>
      </c>
      <c r="B20" s="29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182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301" t="s">
        <v>13</v>
      </c>
      <c r="C24" s="291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">
      <c r="A25" s="18"/>
      <c r="B25" s="301" t="s">
        <v>66</v>
      </c>
      <c r="C25" s="291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 x14ac:dyDescent="0.2">
      <c r="A26" s="177" t="s">
        <v>180</v>
      </c>
      <c r="B26" s="178" t="s">
        <v>206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182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302" t="s">
        <v>67</v>
      </c>
      <c r="C31" s="303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">
      <c r="A33" s="161" t="s">
        <v>185</v>
      </c>
      <c r="B33" s="50" t="s">
        <v>174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">
      <c r="A36" s="163" t="s">
        <v>42</v>
      </c>
      <c r="B36" s="68" t="s">
        <v>223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90" t="s">
        <v>13</v>
      </c>
      <c r="C39" s="291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">
      <c r="A40" s="18"/>
      <c r="B40" s="301" t="s">
        <v>66</v>
      </c>
      <c r="C40" s="291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180</v>
      </c>
      <c r="B42" s="29" t="s">
        <v>208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224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302" t="s">
        <v>67</v>
      </c>
      <c r="C46" s="303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211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">
      <c r="A49" s="70" t="s">
        <v>131</v>
      </c>
      <c r="B49" s="50" t="s">
        <v>146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182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301" t="s">
        <v>13</v>
      </c>
      <c r="C55" s="291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">
      <c r="A56" s="21"/>
      <c r="B56" s="301" t="s">
        <v>66</v>
      </c>
      <c r="C56" s="291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">
      <c r="A57" s="143" t="s">
        <v>199</v>
      </c>
      <c r="B57" s="50" t="s">
        <v>196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180</v>
      </c>
      <c r="B58" s="29" t="s">
        <v>207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">
      <c r="A59" s="163" t="s">
        <v>182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302" t="s">
        <v>67</v>
      </c>
      <c r="C62" s="303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">
      <c r="A63" s="167" t="s">
        <v>193</v>
      </c>
      <c r="B63" s="75" t="s">
        <v>148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186</v>
      </c>
      <c r="B64" s="29" t="s">
        <v>212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150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">
      <c r="A66" s="168" t="s">
        <v>42</v>
      </c>
      <c r="B66" s="50" t="s">
        <v>223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301" t="s">
        <v>13</v>
      </c>
      <c r="C69" s="291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">
      <c r="A70" s="21"/>
      <c r="B70" s="301" t="s">
        <v>66</v>
      </c>
      <c r="C70" s="291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54" t="s">
        <v>200</v>
      </c>
      <c r="B72" s="79" t="s">
        <v>197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182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302" t="s">
        <v>67</v>
      </c>
      <c r="C76" s="303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">
      <c r="A77" s="49" t="s">
        <v>190</v>
      </c>
      <c r="B77" s="50" t="s">
        <v>152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184</v>
      </c>
      <c r="B78" s="29" t="s">
        <v>210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">
      <c r="A79" s="28" t="s">
        <v>153</v>
      </c>
      <c r="B79" s="79" t="s">
        <v>154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155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224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301" t="s">
        <v>13</v>
      </c>
      <c r="C84" s="291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">
      <c r="A85" s="85"/>
      <c r="B85" s="301" t="s">
        <v>66</v>
      </c>
      <c r="C85" s="291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180</v>
      </c>
      <c r="B87" s="29" t="s">
        <v>205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182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302" t="s">
        <v>67</v>
      </c>
      <c r="C91" s="303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142</v>
      </c>
      <c r="B92" s="50" t="s">
        <v>143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176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50" t="s">
        <v>157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 x14ac:dyDescent="0.2">
      <c r="A95" s="158" t="s">
        <v>40</v>
      </c>
      <c r="B95" s="50" t="s">
        <v>225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301" t="s">
        <v>64</v>
      </c>
      <c r="B98" s="290"/>
      <c r="C98" s="291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">
      <c r="A99" s="109"/>
      <c r="B99" s="301" t="s">
        <v>66</v>
      </c>
      <c r="C99" s="291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180</v>
      </c>
      <c r="B100" s="29" t="s">
        <v>209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199</v>
      </c>
      <c r="B101" s="50" t="s">
        <v>196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41">
        <v>323</v>
      </c>
      <c r="B102" s="50" t="s">
        <v>160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302" t="s">
        <v>67</v>
      </c>
      <c r="C105" s="303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192</v>
      </c>
      <c r="B106" s="50" t="s">
        <v>137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187</v>
      </c>
      <c r="B107" s="79" t="s">
        <v>213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202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">
      <c r="A110" s="165" t="s">
        <v>194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305" t="s">
        <v>13</v>
      </c>
      <c r="C113" s="305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">
      <c r="A114" s="84"/>
      <c r="B114" s="301" t="s">
        <v>66</v>
      </c>
      <c r="C114" s="291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 x14ac:dyDescent="0.2">
      <c r="A115" s="177" t="s">
        <v>180</v>
      </c>
      <c r="B115" s="178" t="s">
        <v>206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182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302" t="s">
        <v>67</v>
      </c>
      <c r="C120" s="303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214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146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166</v>
      </c>
      <c r="B124" s="50" t="s">
        <v>167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">
      <c r="A125" s="168" t="s">
        <v>42</v>
      </c>
      <c r="B125" s="50" t="s">
        <v>223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301" t="s">
        <v>13</v>
      </c>
      <c r="C128" s="291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">
      <c r="A129" s="119"/>
      <c r="B129" s="301" t="s">
        <v>66</v>
      </c>
      <c r="C129" s="291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">
      <c r="A130" s="49"/>
      <c r="B130" s="50" t="s">
        <v>168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169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">
      <c r="A133" s="56" t="s">
        <v>42</v>
      </c>
      <c r="B133" s="50" t="s">
        <v>223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302" t="s">
        <v>67</v>
      </c>
      <c r="C136" s="303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 x14ac:dyDescent="0.2">
      <c r="A138" s="28" t="s">
        <v>124</v>
      </c>
      <c r="B138" s="29" t="s">
        <v>176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">
      <c r="A141" s="33" t="s">
        <v>182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">
      <c r="A144" s="119" t="s">
        <v>63</v>
      </c>
      <c r="B144" s="290" t="s">
        <v>9</v>
      </c>
      <c r="C144" s="291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304"/>
      <c r="Q144" s="304"/>
      <c r="R144" s="30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301" t="s">
        <v>66</v>
      </c>
      <c r="C145" s="291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50" t="s">
        <v>170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189</v>
      </c>
      <c r="B147" s="29" t="s">
        <v>159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191</v>
      </c>
      <c r="B148" s="50" t="s">
        <v>171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182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302" t="s">
        <v>67</v>
      </c>
      <c r="C152" s="303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193</v>
      </c>
      <c r="B153" s="75" t="s">
        <v>148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215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151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">
      <c r="A157" s="81" t="s">
        <v>42</v>
      </c>
      <c r="B157" s="50" t="s">
        <v>223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218</v>
      </c>
      <c r="C1" s="292" t="s">
        <v>195</v>
      </c>
      <c r="D1" s="292"/>
      <c r="E1" s="292"/>
      <c r="F1" s="292"/>
      <c r="G1" s="292"/>
      <c r="H1" s="292"/>
      <c r="I1" s="292"/>
      <c r="J1" s="292"/>
    </row>
    <row r="2" spans="1:17" x14ac:dyDescent="0.2">
      <c r="B2" s="2" t="s">
        <v>216</v>
      </c>
      <c r="C2" s="293"/>
      <c r="D2" s="293"/>
      <c r="E2" s="293"/>
      <c r="F2" s="293"/>
      <c r="G2" s="293"/>
      <c r="H2" s="293"/>
      <c r="I2" s="293"/>
      <c r="J2" s="293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94" t="s">
        <v>16</v>
      </c>
      <c r="E3" s="295"/>
      <c r="F3" s="296"/>
      <c r="G3" s="297" t="s">
        <v>23</v>
      </c>
      <c r="H3" s="299" t="s">
        <v>53</v>
      </c>
      <c r="I3" s="300"/>
      <c r="J3" s="175" t="s">
        <v>52</v>
      </c>
      <c r="K3" s="287" t="s">
        <v>75</v>
      </c>
      <c r="L3" s="288"/>
      <c r="M3" s="288"/>
      <c r="N3" s="289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98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90" t="s">
        <v>13</v>
      </c>
      <c r="C6" s="291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181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179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180</v>
      </c>
      <c r="B10" s="29" t="s">
        <v>203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183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192</v>
      </c>
      <c r="B18" s="50" t="s">
        <v>137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184</v>
      </c>
      <c r="B19" s="29" t="s">
        <v>210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">
      <c r="A20" s="158" t="s">
        <v>188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182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301" t="s">
        <v>13</v>
      </c>
      <c r="C24" s="291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 x14ac:dyDescent="0.2">
      <c r="A26" s="126" t="s">
        <v>180</v>
      </c>
      <c r="B26" s="50" t="s">
        <v>206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182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">
      <c r="A33" s="161" t="s">
        <v>185</v>
      </c>
      <c r="B33" s="50" t="s">
        <v>174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">
      <c r="A36" s="163" t="s">
        <v>42</v>
      </c>
      <c r="B36" s="68" t="s">
        <v>223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90" t="s">
        <v>13</v>
      </c>
      <c r="C39" s="291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180</v>
      </c>
      <c r="B42" s="29" t="s">
        <v>208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224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220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">
      <c r="A49" s="70" t="s">
        <v>131</v>
      </c>
      <c r="B49" s="73" t="s">
        <v>146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182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301" t="s">
        <v>13</v>
      </c>
      <c r="C55" s="291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">
      <c r="A57" s="143" t="s">
        <v>199</v>
      </c>
      <c r="B57" s="50" t="s">
        <v>196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180</v>
      </c>
      <c r="B58" s="29" t="s">
        <v>207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">
      <c r="A59" s="163" t="s">
        <v>182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">
      <c r="A63" s="167" t="s">
        <v>193</v>
      </c>
      <c r="B63" s="75" t="s">
        <v>148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186</v>
      </c>
      <c r="B64" s="29" t="s">
        <v>212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150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">
      <c r="A66" s="168" t="s">
        <v>42</v>
      </c>
      <c r="B66" s="50" t="s">
        <v>223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301" t="s">
        <v>13</v>
      </c>
      <c r="C69" s="291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170" t="s">
        <v>200</v>
      </c>
      <c r="B72" s="79" t="s">
        <v>197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182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">
      <c r="A77" s="49" t="s">
        <v>190</v>
      </c>
      <c r="B77" s="50" t="s">
        <v>152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184</v>
      </c>
      <c r="B78" s="32" t="s">
        <v>221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">
      <c r="A79" s="28" t="s">
        <v>153</v>
      </c>
      <c r="B79" s="79" t="s">
        <v>154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155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224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301" t="s">
        <v>13</v>
      </c>
      <c r="C84" s="291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180</v>
      </c>
      <c r="B87" s="29" t="s">
        <v>205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182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142</v>
      </c>
      <c r="B92" s="69" t="s">
        <v>143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176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27" t="s">
        <v>157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 x14ac:dyDescent="0.2">
      <c r="A95" s="158" t="s">
        <v>40</v>
      </c>
      <c r="B95" s="50" t="s">
        <v>225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301" t="s">
        <v>64</v>
      </c>
      <c r="B98" s="290"/>
      <c r="C98" s="291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180</v>
      </c>
      <c r="B100" s="29" t="s">
        <v>209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199</v>
      </c>
      <c r="B101" s="50" t="s">
        <v>196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81">
        <v>323</v>
      </c>
      <c r="B102" s="27" t="s">
        <v>160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192</v>
      </c>
      <c r="B106" s="50" t="s">
        <v>137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187</v>
      </c>
      <c r="B107" s="79" t="s">
        <v>213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202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">
      <c r="A110" s="165" t="s">
        <v>194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 x14ac:dyDescent="0.2">
      <c r="A115" s="54" t="s">
        <v>180</v>
      </c>
      <c r="B115" s="29" t="s">
        <v>206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182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222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146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166</v>
      </c>
      <c r="B124" s="27" t="s">
        <v>167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">
      <c r="A125" s="168" t="s">
        <v>42</v>
      </c>
      <c r="B125" s="50" t="s">
        <v>223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301" t="s">
        <v>13</v>
      </c>
      <c r="C128" s="291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">
      <c r="A130" s="49"/>
      <c r="B130" s="50" t="s">
        <v>168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169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">
      <c r="A133" s="56" t="s">
        <v>42</v>
      </c>
      <c r="B133" s="50" t="s">
        <v>223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 x14ac:dyDescent="0.2">
      <c r="A138" s="28" t="s">
        <v>124</v>
      </c>
      <c r="B138" s="29" t="s">
        <v>176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">
      <c r="A141" s="33" t="s">
        <v>182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">
      <c r="A144" s="119" t="s">
        <v>63</v>
      </c>
      <c r="B144" s="290" t="s">
        <v>13</v>
      </c>
      <c r="C144" s="291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304"/>
      <c r="Q144" s="304"/>
      <c r="R144" s="30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27" t="s">
        <v>170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189</v>
      </c>
      <c r="B147" s="32" t="s">
        <v>159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191</v>
      </c>
      <c r="B148" s="27" t="s">
        <v>171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182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193</v>
      </c>
      <c r="B153" s="75" t="s">
        <v>148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215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151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">
      <c r="A157" s="81" t="s">
        <v>42</v>
      </c>
      <c r="B157" s="50" t="s">
        <v>223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A308"/>
  <sheetViews>
    <sheetView topLeftCell="A275" zoomScale="106" zoomScaleNormal="106" workbookViewId="0">
      <selection sqref="A1:G308"/>
    </sheetView>
  </sheetViews>
  <sheetFormatPr defaultRowHeight="12.75" x14ac:dyDescent="0.2"/>
  <cols>
    <col min="1" max="1" width="11" style="197" customWidth="1"/>
    <col min="2" max="2" width="34.28515625" style="212" customWidth="1"/>
    <col min="3" max="3" width="11.42578125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1.5703125" style="197" customWidth="1"/>
    <col min="8" max="8" width="12.85546875" style="185" customWidth="1"/>
    <col min="9" max="16384" width="9.140625" style="185"/>
  </cols>
  <sheetData>
    <row r="1" spans="1:7" ht="12.75" customHeight="1" x14ac:dyDescent="0.2">
      <c r="A1" s="267" t="s">
        <v>262</v>
      </c>
      <c r="B1" s="267"/>
      <c r="C1" s="267"/>
      <c r="D1" s="267"/>
      <c r="E1" s="267"/>
      <c r="F1" s="267"/>
      <c r="G1" s="267"/>
    </row>
    <row r="2" spans="1:7" x14ac:dyDescent="0.2">
      <c r="A2" s="267"/>
      <c r="B2" s="267"/>
      <c r="C2" s="267"/>
      <c r="D2" s="267"/>
      <c r="E2" s="267"/>
      <c r="F2" s="267"/>
      <c r="G2" s="267"/>
    </row>
    <row r="3" spans="1:7" ht="12.75" customHeight="1" x14ac:dyDescent="0.2">
      <c r="A3" s="264" t="s">
        <v>263</v>
      </c>
      <c r="B3" s="264"/>
      <c r="C3" s="264"/>
      <c r="D3" s="264"/>
      <c r="E3" s="264"/>
      <c r="F3" s="264"/>
      <c r="G3" s="264"/>
    </row>
    <row r="4" spans="1:7" ht="45" customHeight="1" x14ac:dyDescent="0.2">
      <c r="A4" s="265"/>
      <c r="B4" s="265"/>
      <c r="C4" s="265"/>
      <c r="D4" s="265"/>
      <c r="E4" s="265"/>
      <c r="F4" s="265"/>
      <c r="G4" s="265"/>
    </row>
    <row r="5" spans="1:7" ht="33.75" customHeight="1" x14ac:dyDescent="0.2">
      <c r="A5" s="268" t="s">
        <v>239</v>
      </c>
      <c r="B5" s="268" t="s">
        <v>240</v>
      </c>
      <c r="C5" s="268" t="s">
        <v>241</v>
      </c>
      <c r="D5" s="268" t="s">
        <v>242</v>
      </c>
      <c r="E5" s="268"/>
      <c r="F5" s="268"/>
      <c r="G5" s="268" t="s">
        <v>23</v>
      </c>
    </row>
    <row r="6" spans="1:7" ht="34.5" customHeight="1" x14ac:dyDescent="0.2">
      <c r="A6" s="268"/>
      <c r="B6" s="268"/>
      <c r="C6" s="268"/>
      <c r="D6" s="187" t="s">
        <v>17</v>
      </c>
      <c r="E6" s="187" t="s">
        <v>19</v>
      </c>
      <c r="F6" s="187" t="s">
        <v>21</v>
      </c>
      <c r="G6" s="26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68" t="s">
        <v>243</v>
      </c>
      <c r="B8" s="268"/>
      <c r="C8" s="268"/>
      <c r="D8" s="186">
        <f>D9+D19</f>
        <v>45.825400000000002</v>
      </c>
      <c r="E8" s="186">
        <f t="shared" ref="E8:F8" si="0">E9+E19</f>
        <v>52.624600000000001</v>
      </c>
      <c r="F8" s="186">
        <f t="shared" si="0"/>
        <v>214.65610000000001</v>
      </c>
      <c r="G8" s="186">
        <f>G9+G19</f>
        <v>1568.2099999999998</v>
      </c>
    </row>
    <row r="9" spans="1:7" x14ac:dyDescent="0.2">
      <c r="A9" s="187"/>
      <c r="B9" s="188" t="s">
        <v>66</v>
      </c>
      <c r="C9" s="187"/>
      <c r="D9" s="186">
        <f>D10+D11+D12+D13+D14+D15</f>
        <v>18.872499999999999</v>
      </c>
      <c r="E9" s="186">
        <f>E10+E11+E12+E13+E14+E15</f>
        <v>22.5625</v>
      </c>
      <c r="F9" s="186">
        <f>F10+F11+F12+F13+F14+F15</f>
        <v>111.58750000000001</v>
      </c>
      <c r="G9" s="186">
        <f>G10+G11+G12+G13+G14+G15</f>
        <v>751.2349999999999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203</v>
      </c>
      <c r="C12" s="189">
        <v>255</v>
      </c>
      <c r="D12" s="190">
        <f>6.81*1.25</f>
        <v>8.5124999999999993</v>
      </c>
      <c r="E12" s="190">
        <f>10.45*1.25</f>
        <v>13.0625</v>
      </c>
      <c r="F12" s="190">
        <f>29.51*1.25</f>
        <v>36.887500000000003</v>
      </c>
      <c r="G12" s="190">
        <f>246.6*1.25</f>
        <v>308.25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50</v>
      </c>
      <c r="D15" s="190">
        <f>3.04*1.25</f>
        <v>3.8</v>
      </c>
      <c r="E15" s="190">
        <f>0.32*1.25</f>
        <v>0.4</v>
      </c>
      <c r="F15" s="190">
        <f>19.68*1.25</f>
        <v>24.6</v>
      </c>
      <c r="G15" s="190">
        <f>98.34*1.25</f>
        <v>122.92500000000001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83" t="s">
        <v>252</v>
      </c>
      <c r="B18" s="283"/>
      <c r="C18" s="207">
        <f>SUM(C10:C17)</f>
        <v>560</v>
      </c>
      <c r="D18" s="192"/>
      <c r="E18" s="192"/>
      <c r="F18" s="192"/>
      <c r="G18" s="192"/>
    </row>
    <row r="19" spans="1:7" x14ac:dyDescent="0.2">
      <c r="A19" s="196"/>
      <c r="B19" s="230" t="s">
        <v>67</v>
      </c>
      <c r="C19" s="207"/>
      <c r="D19" s="217">
        <f>D20+D21+D22+D23+D24</f>
        <v>26.9529</v>
      </c>
      <c r="E19" s="217">
        <f t="shared" ref="E19:F19" si="1">E20+E21+E22+E23+E24</f>
        <v>30.062099999999997</v>
      </c>
      <c r="F19" s="217">
        <f t="shared" si="1"/>
        <v>103.0686</v>
      </c>
      <c r="G19" s="217">
        <f>G20+G21+G22+G23+G24</f>
        <v>816.97499999999991</v>
      </c>
    </row>
    <row r="20" spans="1:7" x14ac:dyDescent="0.2">
      <c r="A20" s="189" t="s">
        <v>192</v>
      </c>
      <c r="B20" s="182" t="s">
        <v>137</v>
      </c>
      <c r="C20" s="189">
        <v>100</v>
      </c>
      <c r="D20" s="190">
        <f>0.94*1.66</f>
        <v>1.5603999999999998</v>
      </c>
      <c r="E20" s="190">
        <f>4.06*1.66</f>
        <v>6.7395999999999994</v>
      </c>
      <c r="F20" s="190">
        <f>5.96*1.66</f>
        <v>9.8935999999999993</v>
      </c>
      <c r="G20" s="190">
        <v>108.76</v>
      </c>
    </row>
    <row r="21" spans="1:7" ht="15" customHeight="1" x14ac:dyDescent="0.2">
      <c r="A21" s="189" t="s">
        <v>184</v>
      </c>
      <c r="B21" s="182" t="s">
        <v>138</v>
      </c>
      <c r="C21" s="189">
        <v>255</v>
      </c>
      <c r="D21" s="190">
        <f>3.09*1.25</f>
        <v>3.8624999999999998</v>
      </c>
      <c r="E21" s="190">
        <f>4.61*1.25</f>
        <v>5.7625000000000002</v>
      </c>
      <c r="F21" s="190">
        <f>12.54*1.25</f>
        <v>15.674999999999999</v>
      </c>
      <c r="G21" s="190">
        <f>107.36*1.25</f>
        <v>134.19999999999999</v>
      </c>
    </row>
    <row r="22" spans="1:7" x14ac:dyDescent="0.2">
      <c r="A22" s="196" t="s">
        <v>188</v>
      </c>
      <c r="B22" s="182" t="s">
        <v>139</v>
      </c>
      <c r="C22" s="189">
        <v>200</v>
      </c>
      <c r="D22" s="190">
        <v>17.73</v>
      </c>
      <c r="E22" s="190">
        <v>17.16</v>
      </c>
      <c r="F22" s="190">
        <v>42.9</v>
      </c>
      <c r="G22" s="190">
        <v>409.09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50</v>
      </c>
      <c r="D24" s="190">
        <f>3.04*1.25</f>
        <v>3.8</v>
      </c>
      <c r="E24" s="190">
        <f>0.32*1.25</f>
        <v>0.4</v>
      </c>
      <c r="F24" s="190">
        <f>19.68*1.25</f>
        <v>24.6</v>
      </c>
      <c r="G24" s="190">
        <f>98.34*1.25</f>
        <v>122.92500000000001</v>
      </c>
    </row>
    <row r="25" spans="1:7" x14ac:dyDescent="0.2">
      <c r="A25" s="283" t="s">
        <v>252</v>
      </c>
      <c r="B25" s="283"/>
      <c r="C25" s="207">
        <f>SUM(C20:C24)</f>
        <v>805</v>
      </c>
      <c r="D25" s="192"/>
      <c r="E25" s="192"/>
      <c r="F25" s="192"/>
      <c r="G25" s="192"/>
    </row>
    <row r="26" spans="1:7" ht="27.95" customHeight="1" x14ac:dyDescent="0.2">
      <c r="A26" s="268" t="s">
        <v>244</v>
      </c>
      <c r="B26" s="268"/>
      <c r="C26" s="268"/>
      <c r="D26" s="186">
        <f t="shared" ref="D26:F26" si="2">D27+D33</f>
        <v>46.362439999999999</v>
      </c>
      <c r="E26" s="186">
        <f t="shared" si="2"/>
        <v>50.043459999999996</v>
      </c>
      <c r="F26" s="186">
        <f t="shared" si="2"/>
        <v>225.64627999999999</v>
      </c>
      <c r="G26" s="186">
        <f>G27+G33</f>
        <v>1595.2984999999999</v>
      </c>
    </row>
    <row r="27" spans="1:7" x14ac:dyDescent="0.2">
      <c r="A27" s="187"/>
      <c r="B27" s="188" t="s">
        <v>66</v>
      </c>
      <c r="C27" s="187"/>
      <c r="D27" s="186">
        <f>D28+D29+D30+D31</f>
        <v>18.0625</v>
      </c>
      <c r="E27" s="186">
        <f>E28+E29+E30+E31</f>
        <v>13.1675</v>
      </c>
      <c r="F27" s="186">
        <f>F28+F29+F30+F31</f>
        <v>121.3775</v>
      </c>
      <c r="G27" s="186">
        <f>G28+G29+G30+G31</f>
        <v>705.83500000000004</v>
      </c>
    </row>
    <row r="28" spans="1:7" ht="25.5" x14ac:dyDescent="0.2">
      <c r="A28" s="189" t="s">
        <v>180</v>
      </c>
      <c r="B28" s="182" t="s">
        <v>206</v>
      </c>
      <c r="C28" s="189">
        <v>253</v>
      </c>
      <c r="D28" s="190">
        <f>7.81*1.25</f>
        <v>9.7624999999999993</v>
      </c>
      <c r="E28" s="190">
        <f>4.55*1.25</f>
        <v>5.6875</v>
      </c>
      <c r="F28" s="190">
        <f>33.47*1.25</f>
        <v>41.837499999999999</v>
      </c>
      <c r="G28" s="190">
        <v>267.91000000000003</v>
      </c>
    </row>
    <row r="29" spans="1:7" x14ac:dyDescent="0.2">
      <c r="A29" s="196"/>
      <c r="B29" s="182" t="s">
        <v>62</v>
      </c>
      <c r="C29" s="189">
        <v>60</v>
      </c>
      <c r="D29" s="190">
        <f>1.5*3</f>
        <v>4.5</v>
      </c>
      <c r="E29" s="190">
        <f>2.36*3</f>
        <v>7.08</v>
      </c>
      <c r="F29" s="190">
        <f>14.98*3</f>
        <v>44.94</v>
      </c>
      <c r="G29" s="190">
        <f>91*3</f>
        <v>273</v>
      </c>
    </row>
    <row r="30" spans="1:7" x14ac:dyDescent="0.2">
      <c r="A30" s="196" t="s">
        <v>182</v>
      </c>
      <c r="B30" s="182" t="s">
        <v>10</v>
      </c>
      <c r="C30" s="189">
        <v>200</v>
      </c>
      <c r="D30" s="190">
        <v>0</v>
      </c>
      <c r="E30" s="190">
        <v>0</v>
      </c>
      <c r="F30" s="190">
        <v>10</v>
      </c>
      <c r="G30" s="190">
        <v>42</v>
      </c>
    </row>
    <row r="31" spans="1:7" x14ac:dyDescent="0.2">
      <c r="A31" s="189"/>
      <c r="B31" s="182" t="s">
        <v>11</v>
      </c>
      <c r="C31" s="189">
        <v>50</v>
      </c>
      <c r="D31" s="190">
        <f>3.04*1.25</f>
        <v>3.8</v>
      </c>
      <c r="E31" s="190">
        <f>0.32*1.25</f>
        <v>0.4</v>
      </c>
      <c r="F31" s="190">
        <f>19.68*1.25</f>
        <v>24.6</v>
      </c>
      <c r="G31" s="190">
        <f>98.34*1.25</f>
        <v>122.92500000000001</v>
      </c>
    </row>
    <row r="32" spans="1:7" x14ac:dyDescent="0.2">
      <c r="A32" s="283" t="s">
        <v>252</v>
      </c>
      <c r="B32" s="283"/>
      <c r="C32" s="187">
        <f>SUM(C28:C31)</f>
        <v>563</v>
      </c>
      <c r="D32" s="190"/>
      <c r="E32" s="190"/>
      <c r="F32" s="190"/>
      <c r="G32" s="190"/>
    </row>
    <row r="33" spans="1:7" x14ac:dyDescent="0.2">
      <c r="A33" s="189"/>
      <c r="B33" s="230" t="s">
        <v>67</v>
      </c>
      <c r="C33" s="187"/>
      <c r="D33" s="186">
        <f>D34+D35+D36+D37+D38+D39</f>
        <v>28.299939999999999</v>
      </c>
      <c r="E33" s="186">
        <f>E34+E35+E36+E37+E38+E39</f>
        <v>36.875959999999999</v>
      </c>
      <c r="F33" s="186">
        <f>F34+F35+F36+F37+F38+F39</f>
        <v>104.26877999999999</v>
      </c>
      <c r="G33" s="186">
        <f>G34+G35+G36+G37+G38+G39</f>
        <v>889.46349999999984</v>
      </c>
    </row>
    <row r="34" spans="1:7" x14ac:dyDescent="0.2">
      <c r="A34" s="189" t="s">
        <v>68</v>
      </c>
      <c r="B34" s="182" t="s">
        <v>69</v>
      </c>
      <c r="C34" s="189">
        <v>100</v>
      </c>
      <c r="D34" s="190">
        <f>0.84*1.666</f>
        <v>1.3994399999999998</v>
      </c>
      <c r="E34" s="190">
        <f>3.06*1.666</f>
        <v>5.0979599999999996</v>
      </c>
      <c r="F34" s="190">
        <f>6.83*1.666</f>
        <v>11.378779999999999</v>
      </c>
      <c r="G34" s="190">
        <f>59.75*1.666</f>
        <v>99.543499999999995</v>
      </c>
    </row>
    <row r="35" spans="1:7" ht="25.5" x14ac:dyDescent="0.2">
      <c r="A35" s="189" t="s">
        <v>185</v>
      </c>
      <c r="B35" s="182" t="s">
        <v>141</v>
      </c>
      <c r="C35" s="189">
        <v>255</v>
      </c>
      <c r="D35" s="190">
        <f>2.57*1.25</f>
        <v>3.2124999999999999</v>
      </c>
      <c r="E35" s="190">
        <f>9.24*1.25</f>
        <v>11.55</v>
      </c>
      <c r="F35" s="190">
        <f>18.04*1.25</f>
        <v>22.549999999999997</v>
      </c>
      <c r="G35" s="190">
        <f>169.72*1.25</f>
        <v>212.15</v>
      </c>
    </row>
    <row r="36" spans="1:7" x14ac:dyDescent="0.2">
      <c r="A36" s="196" t="s">
        <v>43</v>
      </c>
      <c r="B36" s="182" t="s">
        <v>65</v>
      </c>
      <c r="C36" s="189">
        <v>100</v>
      </c>
      <c r="D36" s="190">
        <v>14.25</v>
      </c>
      <c r="E36" s="190">
        <v>16.66</v>
      </c>
      <c r="F36" s="190">
        <v>5.27</v>
      </c>
      <c r="G36" s="190">
        <v>232</v>
      </c>
    </row>
    <row r="37" spans="1:7" x14ac:dyDescent="0.2">
      <c r="A37" s="189" t="s">
        <v>33</v>
      </c>
      <c r="B37" s="182" t="s">
        <v>12</v>
      </c>
      <c r="C37" s="189">
        <v>180</v>
      </c>
      <c r="D37" s="190">
        <f>5.64*1.2</f>
        <v>6.7679999999999998</v>
      </c>
      <c r="E37" s="190">
        <f>2.84*1.2</f>
        <v>3.4079999999999999</v>
      </c>
      <c r="F37" s="190">
        <f>36*1.2</f>
        <v>43.199999999999996</v>
      </c>
      <c r="G37" s="190">
        <f>201*1.2</f>
        <v>241.2</v>
      </c>
    </row>
    <row r="38" spans="1:7" x14ac:dyDescent="0.2">
      <c r="A38" s="196" t="s">
        <v>42</v>
      </c>
      <c r="B38" s="191" t="s">
        <v>223</v>
      </c>
      <c r="C38" s="189">
        <v>200</v>
      </c>
      <c r="D38" s="190">
        <v>1.1499999999999999</v>
      </c>
      <c r="E38" s="190"/>
      <c r="F38" s="190">
        <v>12.03</v>
      </c>
      <c r="G38" s="190">
        <v>55.4</v>
      </c>
    </row>
    <row r="39" spans="1:7" x14ac:dyDescent="0.2">
      <c r="A39" s="189"/>
      <c r="B39" s="182" t="s">
        <v>11</v>
      </c>
      <c r="C39" s="189">
        <v>20</v>
      </c>
      <c r="D39" s="190">
        <v>1.52</v>
      </c>
      <c r="E39" s="190">
        <v>0.16</v>
      </c>
      <c r="F39" s="190">
        <v>9.84</v>
      </c>
      <c r="G39" s="190">
        <v>49.17</v>
      </c>
    </row>
    <row r="40" spans="1:7" x14ac:dyDescent="0.2">
      <c r="A40" s="283" t="s">
        <v>252</v>
      </c>
      <c r="B40" s="283"/>
      <c r="C40" s="187">
        <f>SUM(C34:C39)</f>
        <v>855</v>
      </c>
      <c r="D40" s="190"/>
      <c r="E40" s="190"/>
      <c r="F40" s="190"/>
      <c r="G40" s="190"/>
    </row>
    <row r="41" spans="1:7" ht="27.95" customHeight="1" x14ac:dyDescent="0.2">
      <c r="A41" s="268" t="s">
        <v>245</v>
      </c>
      <c r="B41" s="268"/>
      <c r="C41" s="268"/>
      <c r="D41" s="186">
        <f>D42+D48</f>
        <v>44.427099999999996</v>
      </c>
      <c r="E41" s="186">
        <f t="shared" ref="E41:F41" si="3">E42+E48</f>
        <v>40.858599999999996</v>
      </c>
      <c r="F41" s="186">
        <f t="shared" si="3"/>
        <v>226.2124</v>
      </c>
      <c r="G41" s="186">
        <f>G42+G48</f>
        <v>1505.0700000000002</v>
      </c>
    </row>
    <row r="42" spans="1:7" x14ac:dyDescent="0.2">
      <c r="A42" s="187"/>
      <c r="B42" s="188" t="s">
        <v>66</v>
      </c>
      <c r="C42" s="187"/>
      <c r="D42" s="186">
        <f>D43+D44+D45+D46</f>
        <v>14.440000000000001</v>
      </c>
      <c r="E42" s="186">
        <f t="shared" ref="E42:F42" si="4">E43+E44+E45+E46</f>
        <v>8.58</v>
      </c>
      <c r="F42" s="186">
        <f t="shared" si="4"/>
        <v>106.42</v>
      </c>
      <c r="G42" s="186">
        <f>G43+G44+G45+G46</f>
        <v>584.71</v>
      </c>
    </row>
    <row r="43" spans="1:7" x14ac:dyDescent="0.2">
      <c r="A43" s="189"/>
      <c r="B43" s="182" t="s">
        <v>41</v>
      </c>
      <c r="C43" s="189">
        <v>100</v>
      </c>
      <c r="D43" s="190">
        <v>0.4</v>
      </c>
      <c r="E43" s="190">
        <v>0</v>
      </c>
      <c r="F43" s="190">
        <v>9.8000000000000007</v>
      </c>
      <c r="G43" s="190">
        <v>42.84</v>
      </c>
    </row>
    <row r="44" spans="1:7" ht="25.5" x14ac:dyDescent="0.2">
      <c r="A44" s="189" t="s">
        <v>180</v>
      </c>
      <c r="B44" s="182" t="s">
        <v>208</v>
      </c>
      <c r="C44" s="189">
        <v>203</v>
      </c>
      <c r="D44" s="190">
        <v>8.48</v>
      </c>
      <c r="E44" s="190">
        <v>8</v>
      </c>
      <c r="F44" s="190">
        <v>36.1</v>
      </c>
      <c r="G44" s="190">
        <v>259.36</v>
      </c>
    </row>
    <row r="45" spans="1:7" ht="21.75" customHeight="1" x14ac:dyDescent="0.2">
      <c r="A45" s="189" t="s">
        <v>42</v>
      </c>
      <c r="B45" s="182" t="s">
        <v>224</v>
      </c>
      <c r="C45" s="189">
        <v>200</v>
      </c>
      <c r="D45" s="190">
        <v>1</v>
      </c>
      <c r="E45" s="190">
        <v>0.1</v>
      </c>
      <c r="F45" s="190">
        <v>31</v>
      </c>
      <c r="G45" s="190">
        <v>135</v>
      </c>
    </row>
    <row r="46" spans="1:7" x14ac:dyDescent="0.2">
      <c r="A46" s="189"/>
      <c r="B46" s="182" t="s">
        <v>11</v>
      </c>
      <c r="C46" s="189">
        <v>60</v>
      </c>
      <c r="D46" s="190">
        <f>3.04*1.5</f>
        <v>4.5600000000000005</v>
      </c>
      <c r="E46" s="190">
        <f>0.32*1.5</f>
        <v>0.48</v>
      </c>
      <c r="F46" s="190">
        <f>19.68*1.5</f>
        <v>29.52</v>
      </c>
      <c r="G46" s="190">
        <f>98.34*1.5</f>
        <v>147.51</v>
      </c>
    </row>
    <row r="47" spans="1:7" x14ac:dyDescent="0.2">
      <c r="A47" s="283" t="s">
        <v>252</v>
      </c>
      <c r="B47" s="283"/>
      <c r="C47" s="187">
        <f>SUM(C43:C46)</f>
        <v>563</v>
      </c>
      <c r="D47" s="190"/>
      <c r="E47" s="190"/>
      <c r="F47" s="190"/>
      <c r="G47" s="190"/>
    </row>
    <row r="48" spans="1:7" x14ac:dyDescent="0.2">
      <c r="A48" s="189"/>
      <c r="B48" s="230" t="s">
        <v>67</v>
      </c>
      <c r="C48" s="187"/>
      <c r="D48" s="186">
        <f>D49+D50+D51+D52+D53+D54</f>
        <v>29.987099999999998</v>
      </c>
      <c r="E48" s="186">
        <f t="shared" ref="E48:F48" si="5">E49+E50+E51+E52+E53+E54</f>
        <v>32.278599999999997</v>
      </c>
      <c r="F48" s="186">
        <f t="shared" si="5"/>
        <v>119.7924</v>
      </c>
      <c r="G48" s="186">
        <f>G49+G50+G51+G52+G53+G54</f>
        <v>920.36</v>
      </c>
    </row>
    <row r="49" spans="1:7" x14ac:dyDescent="0.2">
      <c r="A49" s="189" t="s">
        <v>82</v>
      </c>
      <c r="B49" s="182" t="s">
        <v>83</v>
      </c>
      <c r="C49" s="189">
        <v>100</v>
      </c>
      <c r="D49" s="190">
        <f>1.21*1.67</f>
        <v>2.0206999999999997</v>
      </c>
      <c r="E49" s="190">
        <f>6.2*1.67</f>
        <v>10.353999999999999</v>
      </c>
      <c r="F49" s="190">
        <f>12.33*1.67</f>
        <v>20.591100000000001</v>
      </c>
      <c r="G49" s="190">
        <f>113*1.67</f>
        <v>188.70999999999998</v>
      </c>
    </row>
    <row r="50" spans="1:7" ht="25.5" x14ac:dyDescent="0.2">
      <c r="A50" s="189" t="s">
        <v>117</v>
      </c>
      <c r="B50" s="182" t="s">
        <v>145</v>
      </c>
      <c r="C50" s="189">
        <v>260</v>
      </c>
      <c r="D50" s="190">
        <f>2.64*1.25</f>
        <v>3.3000000000000003</v>
      </c>
      <c r="E50" s="190">
        <f>3.56*1.25</f>
        <v>4.45</v>
      </c>
      <c r="F50" s="190">
        <f>11.76*1.25</f>
        <v>14.7</v>
      </c>
      <c r="G50" s="190">
        <f>93*1.25</f>
        <v>116.25</v>
      </c>
    </row>
    <row r="51" spans="1:7" x14ac:dyDescent="0.2">
      <c r="A51" s="189" t="s">
        <v>131</v>
      </c>
      <c r="B51" s="182" t="s">
        <v>146</v>
      </c>
      <c r="C51" s="189">
        <v>100</v>
      </c>
      <c r="D51" s="190">
        <f>11.84*1.11</f>
        <v>13.1424</v>
      </c>
      <c r="E51" s="190">
        <f>10.06*1.11</f>
        <v>11.166600000000001</v>
      </c>
      <c r="F51" s="190">
        <f>16.03*1.11</f>
        <v>17.793300000000002</v>
      </c>
      <c r="G51" s="190">
        <f>208*1.11</f>
        <v>230.88000000000002</v>
      </c>
    </row>
    <row r="52" spans="1:7" x14ac:dyDescent="0.2">
      <c r="A52" s="196" t="s">
        <v>38</v>
      </c>
      <c r="B52" s="182" t="s">
        <v>36</v>
      </c>
      <c r="C52" s="189">
        <v>180</v>
      </c>
      <c r="D52" s="190">
        <f>8.77*1.2</f>
        <v>10.523999999999999</v>
      </c>
      <c r="E52" s="190">
        <f>5.19*1.2</f>
        <v>6.2280000000000006</v>
      </c>
      <c r="F52" s="190">
        <f>39.6*1.23</f>
        <v>48.707999999999998</v>
      </c>
      <c r="G52" s="190">
        <v>304</v>
      </c>
    </row>
    <row r="53" spans="1:7" x14ac:dyDescent="0.2">
      <c r="A53" s="196" t="s">
        <v>182</v>
      </c>
      <c r="B53" s="182" t="s">
        <v>10</v>
      </c>
      <c r="C53" s="189">
        <v>200</v>
      </c>
      <c r="D53" s="190">
        <v>0</v>
      </c>
      <c r="E53" s="190">
        <v>0</v>
      </c>
      <c r="F53" s="190">
        <v>10</v>
      </c>
      <c r="G53" s="190">
        <v>42</v>
      </c>
    </row>
    <row r="54" spans="1:7" x14ac:dyDescent="0.2">
      <c r="A54" s="189"/>
      <c r="B54" s="182" t="s">
        <v>37</v>
      </c>
      <c r="C54" s="189">
        <v>20</v>
      </c>
      <c r="D54" s="190">
        <v>1</v>
      </c>
      <c r="E54" s="190">
        <v>0.08</v>
      </c>
      <c r="F54" s="190">
        <v>8</v>
      </c>
      <c r="G54" s="190">
        <v>38.520000000000003</v>
      </c>
    </row>
    <row r="55" spans="1:7" x14ac:dyDescent="0.2">
      <c r="A55" s="283" t="s">
        <v>252</v>
      </c>
      <c r="B55" s="283"/>
      <c r="C55" s="187">
        <f>SUM(C49:C54)</f>
        <v>860</v>
      </c>
      <c r="D55" s="190"/>
      <c r="E55" s="190"/>
      <c r="F55" s="190"/>
      <c r="G55" s="190"/>
    </row>
    <row r="56" spans="1:7" ht="27.95" customHeight="1" x14ac:dyDescent="0.2">
      <c r="A56" s="268" t="s">
        <v>246</v>
      </c>
      <c r="B56" s="268"/>
      <c r="C56" s="268"/>
      <c r="D56" s="186">
        <f t="shared" ref="D56:F56" si="6">D57+D63</f>
        <v>48.278500000000001</v>
      </c>
      <c r="E56" s="186">
        <f t="shared" si="6"/>
        <v>46.466200000000001</v>
      </c>
      <c r="F56" s="186">
        <f t="shared" si="6"/>
        <v>210.62379999999999</v>
      </c>
      <c r="G56" s="186">
        <f>G57+G63</f>
        <v>1506.9609999999998</v>
      </c>
    </row>
    <row r="57" spans="1:7" x14ac:dyDescent="0.2">
      <c r="A57" s="187"/>
      <c r="B57" s="188" t="s">
        <v>66</v>
      </c>
      <c r="C57" s="187"/>
      <c r="D57" s="186">
        <f>D58+D59+D60+D61</f>
        <v>17.785</v>
      </c>
      <c r="E57" s="186">
        <f t="shared" ref="E57:F57" si="7">E58+E59+E60+E61</f>
        <v>9.5024999999999995</v>
      </c>
      <c r="F57" s="186">
        <f t="shared" si="7"/>
        <v>116.03999999999999</v>
      </c>
      <c r="G57" s="186">
        <f>G58+G59+G60+G61</f>
        <v>647.63499999999999</v>
      </c>
    </row>
    <row r="58" spans="1:7" x14ac:dyDescent="0.2">
      <c r="A58" s="196" t="s">
        <v>199</v>
      </c>
      <c r="B58" s="182" t="s">
        <v>196</v>
      </c>
      <c r="C58" s="189">
        <v>60</v>
      </c>
      <c r="D58" s="190">
        <v>4.91</v>
      </c>
      <c r="E58" s="190">
        <v>3.79</v>
      </c>
      <c r="F58" s="190">
        <v>36.090000000000003</v>
      </c>
      <c r="G58" s="190">
        <v>206.31</v>
      </c>
    </row>
    <row r="59" spans="1:7" ht="25.5" x14ac:dyDescent="0.2">
      <c r="A59" s="189" t="s">
        <v>180</v>
      </c>
      <c r="B59" s="182" t="s">
        <v>207</v>
      </c>
      <c r="C59" s="189">
        <v>253</v>
      </c>
      <c r="D59" s="190">
        <f>7.26*1.25</f>
        <v>9.0749999999999993</v>
      </c>
      <c r="E59" s="190">
        <f>4.25*1.25</f>
        <v>5.3125</v>
      </c>
      <c r="F59" s="190">
        <f>36.28*1.25</f>
        <v>45.35</v>
      </c>
      <c r="G59" s="190">
        <v>276.39999999999998</v>
      </c>
    </row>
    <row r="60" spans="1:7" x14ac:dyDescent="0.2">
      <c r="A60" s="196" t="s">
        <v>182</v>
      </c>
      <c r="B60" s="191" t="s">
        <v>10</v>
      </c>
      <c r="C60" s="189">
        <v>200</v>
      </c>
      <c r="D60" s="190">
        <v>0</v>
      </c>
      <c r="E60" s="190">
        <v>0</v>
      </c>
      <c r="F60" s="190">
        <v>10</v>
      </c>
      <c r="G60" s="190">
        <v>42</v>
      </c>
    </row>
    <row r="61" spans="1:7" ht="15" customHeight="1" x14ac:dyDescent="0.2">
      <c r="A61" s="189"/>
      <c r="B61" s="182" t="s">
        <v>11</v>
      </c>
      <c r="C61" s="189">
        <v>50</v>
      </c>
      <c r="D61" s="190">
        <f>3.04*1.25</f>
        <v>3.8</v>
      </c>
      <c r="E61" s="190">
        <f>0.32*1.25</f>
        <v>0.4</v>
      </c>
      <c r="F61" s="190">
        <f>19.68*1.25</f>
        <v>24.6</v>
      </c>
      <c r="G61" s="190">
        <f>98.34*1.25</f>
        <v>122.92500000000001</v>
      </c>
    </row>
    <row r="62" spans="1:7" ht="15" customHeight="1" x14ac:dyDescent="0.2">
      <c r="A62" s="283" t="s">
        <v>252</v>
      </c>
      <c r="B62" s="283"/>
      <c r="C62" s="187">
        <f>SUM(C58:C61)</f>
        <v>563</v>
      </c>
      <c r="D62" s="190"/>
      <c r="E62" s="190"/>
      <c r="F62" s="190"/>
      <c r="G62" s="190"/>
    </row>
    <row r="63" spans="1:7" ht="15" customHeight="1" x14ac:dyDescent="0.2">
      <c r="A63" s="189"/>
      <c r="B63" s="230" t="s">
        <v>67</v>
      </c>
      <c r="C63" s="187"/>
      <c r="D63" s="186">
        <f>D64+D65+D66+D67+D68</f>
        <v>30.493500000000001</v>
      </c>
      <c r="E63" s="186">
        <f>E64+E65+E66+E67+E68</f>
        <v>36.963700000000003</v>
      </c>
      <c r="F63" s="186">
        <f>F64+F65+F66+F67+F68</f>
        <v>94.583799999999997</v>
      </c>
      <c r="G63" s="186">
        <f>G64+G65+G66+G67+G68</f>
        <v>859.32599999999991</v>
      </c>
    </row>
    <row r="64" spans="1:7" ht="15" customHeight="1" x14ac:dyDescent="0.2">
      <c r="A64" s="189" t="s">
        <v>190</v>
      </c>
      <c r="B64" s="182" t="s">
        <v>152</v>
      </c>
      <c r="C64" s="189">
        <v>100</v>
      </c>
      <c r="D64" s="190">
        <f>0.8*1.67</f>
        <v>1.3360000000000001</v>
      </c>
      <c r="E64" s="190">
        <f>3.11*1.67</f>
        <v>5.1936999999999998</v>
      </c>
      <c r="F64" s="190">
        <f>5.64*1.67</f>
        <v>9.4187999999999992</v>
      </c>
      <c r="G64" s="190">
        <f>55.8*1.67</f>
        <v>93.185999999999993</v>
      </c>
    </row>
    <row r="65" spans="1:7" ht="30" customHeight="1" x14ac:dyDescent="0.2">
      <c r="A65" s="189" t="s">
        <v>186</v>
      </c>
      <c r="B65" s="182" t="s">
        <v>149</v>
      </c>
      <c r="C65" s="189">
        <v>260</v>
      </c>
      <c r="D65" s="190">
        <f>6.51*1.25</f>
        <v>8.1374999999999993</v>
      </c>
      <c r="E65" s="190">
        <f>12.28*1.25</f>
        <v>15.35</v>
      </c>
      <c r="F65" s="190">
        <f>18.94*1.25</f>
        <v>23.675000000000001</v>
      </c>
      <c r="G65" s="190">
        <v>271.76</v>
      </c>
    </row>
    <row r="66" spans="1:7" ht="15" customHeight="1" x14ac:dyDescent="0.2">
      <c r="A66" s="189" t="s">
        <v>236</v>
      </c>
      <c r="B66" s="182" t="s">
        <v>150</v>
      </c>
      <c r="C66" s="189">
        <v>260</v>
      </c>
      <c r="D66" s="190">
        <v>18.350000000000001</v>
      </c>
      <c r="E66" s="190">
        <v>16.260000000000002</v>
      </c>
      <c r="F66" s="190">
        <v>39.619999999999997</v>
      </c>
      <c r="G66" s="190">
        <v>389.81</v>
      </c>
    </row>
    <row r="67" spans="1:7" ht="14.25" customHeight="1" x14ac:dyDescent="0.2">
      <c r="A67" s="196" t="s">
        <v>42</v>
      </c>
      <c r="B67" s="182" t="s">
        <v>223</v>
      </c>
      <c r="C67" s="189">
        <v>200</v>
      </c>
      <c r="D67" s="190">
        <v>1.1499999999999999</v>
      </c>
      <c r="E67" s="190"/>
      <c r="F67" s="190">
        <v>12.03</v>
      </c>
      <c r="G67" s="190">
        <v>55.4</v>
      </c>
    </row>
    <row r="68" spans="1:7" ht="15" customHeight="1" x14ac:dyDescent="0.2">
      <c r="A68" s="189"/>
      <c r="B68" s="182" t="s">
        <v>11</v>
      </c>
      <c r="C68" s="189">
        <v>20</v>
      </c>
      <c r="D68" s="190">
        <v>1.52</v>
      </c>
      <c r="E68" s="190">
        <v>0.16</v>
      </c>
      <c r="F68" s="190">
        <v>9.84</v>
      </c>
      <c r="G68" s="190">
        <v>49.17</v>
      </c>
    </row>
    <row r="69" spans="1:7" ht="15" customHeight="1" x14ac:dyDescent="0.2">
      <c r="A69" s="283" t="s">
        <v>252</v>
      </c>
      <c r="B69" s="283"/>
      <c r="C69" s="187">
        <f>SUM(C64:C68)</f>
        <v>840</v>
      </c>
      <c r="D69" s="190"/>
      <c r="E69" s="190"/>
      <c r="F69" s="190"/>
      <c r="G69" s="190"/>
    </row>
    <row r="70" spans="1:7" ht="27.95" customHeight="1" x14ac:dyDescent="0.2">
      <c r="A70" s="268" t="s">
        <v>247</v>
      </c>
      <c r="B70" s="268"/>
      <c r="C70" s="268"/>
      <c r="D70" s="186">
        <f>D71+D77</f>
        <v>48.732900000000001</v>
      </c>
      <c r="E70" s="186">
        <f t="shared" ref="E70:F70" si="8">E71+E77</f>
        <v>36.918700000000001</v>
      </c>
      <c r="F70" s="186">
        <f t="shared" si="8"/>
        <v>233.0454</v>
      </c>
      <c r="G70" s="186">
        <f>G71+G77</f>
        <v>1516.1556999999998</v>
      </c>
    </row>
    <row r="71" spans="1:7" x14ac:dyDescent="0.2">
      <c r="A71" s="187"/>
      <c r="B71" s="188" t="s">
        <v>66</v>
      </c>
      <c r="C71" s="187"/>
      <c r="D71" s="186">
        <f>D72+D73+D74+D75</f>
        <v>16.399999999999999</v>
      </c>
      <c r="E71" s="186">
        <f>E72+E73+E74+E75</f>
        <v>9.7000000000000011</v>
      </c>
      <c r="F71" s="186">
        <f>F72+F73+F74+F75</f>
        <v>98.97</v>
      </c>
      <c r="G71" s="186">
        <f>G72+G73+G74+G75</f>
        <v>571.91</v>
      </c>
    </row>
    <row r="72" spans="1:7" x14ac:dyDescent="0.2">
      <c r="A72" s="189"/>
      <c r="B72" s="182" t="s">
        <v>41</v>
      </c>
      <c r="C72" s="189">
        <v>100</v>
      </c>
      <c r="D72" s="190">
        <v>0.4</v>
      </c>
      <c r="E72" s="190">
        <v>0</v>
      </c>
      <c r="F72" s="190">
        <v>9.8000000000000007</v>
      </c>
      <c r="G72" s="190">
        <v>42.84</v>
      </c>
    </row>
    <row r="73" spans="1:7" x14ac:dyDescent="0.2">
      <c r="A73" s="189" t="s">
        <v>200</v>
      </c>
      <c r="B73" s="182" t="s">
        <v>197</v>
      </c>
      <c r="C73" s="189">
        <v>203</v>
      </c>
      <c r="D73" s="190">
        <v>11.44</v>
      </c>
      <c r="E73" s="190">
        <v>9.2200000000000006</v>
      </c>
      <c r="F73" s="190">
        <v>49.65</v>
      </c>
      <c r="G73" s="190">
        <v>339.56</v>
      </c>
    </row>
    <row r="74" spans="1:7" x14ac:dyDescent="0.2">
      <c r="A74" s="206" t="s">
        <v>182</v>
      </c>
      <c r="B74" s="182" t="s">
        <v>10</v>
      </c>
      <c r="C74" s="206">
        <v>200</v>
      </c>
      <c r="D74" s="190">
        <v>0</v>
      </c>
      <c r="E74" s="190">
        <v>0</v>
      </c>
      <c r="F74" s="190">
        <v>10</v>
      </c>
      <c r="G74" s="190">
        <v>42</v>
      </c>
    </row>
    <row r="75" spans="1:7" ht="13.5" customHeight="1" x14ac:dyDescent="0.2">
      <c r="A75" s="189"/>
      <c r="B75" s="182" t="s">
        <v>11</v>
      </c>
      <c r="C75" s="189">
        <v>60</v>
      </c>
      <c r="D75" s="190">
        <f>3.04*1.5</f>
        <v>4.5600000000000005</v>
      </c>
      <c r="E75" s="190">
        <f>0.32*1.5</f>
        <v>0.48</v>
      </c>
      <c r="F75" s="190">
        <f>19.68*1.5</f>
        <v>29.52</v>
      </c>
      <c r="G75" s="190">
        <f>98.34*1.5</f>
        <v>147.51</v>
      </c>
    </row>
    <row r="76" spans="1:7" x14ac:dyDescent="0.2">
      <c r="A76" s="283" t="s">
        <v>252</v>
      </c>
      <c r="B76" s="283"/>
      <c r="C76" s="187">
        <f>SUM(C72:C75)</f>
        <v>563</v>
      </c>
      <c r="D76" s="190"/>
      <c r="E76" s="190"/>
      <c r="F76" s="190"/>
      <c r="G76" s="190"/>
    </row>
    <row r="77" spans="1:7" x14ac:dyDescent="0.2">
      <c r="A77" s="189"/>
      <c r="B77" s="230" t="s">
        <v>67</v>
      </c>
      <c r="C77" s="187"/>
      <c r="D77" s="186">
        <f>D78+D79+D80+D81+D82+D83</f>
        <v>32.332900000000002</v>
      </c>
      <c r="E77" s="186">
        <f>E78+E79+E80+E81+E82+E83</f>
        <v>27.218699999999998</v>
      </c>
      <c r="F77" s="186">
        <f>F78+F79+F80+F81+F82+F83</f>
        <v>134.0754</v>
      </c>
      <c r="G77" s="186">
        <f>G78+G79+G80+G81+G82+G83</f>
        <v>944.24569999999994</v>
      </c>
    </row>
    <row r="78" spans="1:7" ht="18.75" customHeight="1" x14ac:dyDescent="0.2">
      <c r="A78" s="206" t="s">
        <v>193</v>
      </c>
      <c r="B78" s="182" t="s">
        <v>148</v>
      </c>
      <c r="C78" s="189">
        <v>100</v>
      </c>
      <c r="D78" s="190">
        <f>0.74*1.66</f>
        <v>1.2283999999999999</v>
      </c>
      <c r="E78" s="190">
        <f>0.06*1.67</f>
        <v>0.1002</v>
      </c>
      <c r="F78" s="190">
        <f>16.92*1.67</f>
        <v>28.256400000000003</v>
      </c>
      <c r="G78" s="190">
        <f>74.71*1.67</f>
        <v>124.76569999999998</v>
      </c>
    </row>
    <row r="79" spans="1:7" x14ac:dyDescent="0.2">
      <c r="A79" s="189" t="s">
        <v>184</v>
      </c>
      <c r="B79" s="182" t="s">
        <v>138</v>
      </c>
      <c r="C79" s="189">
        <v>255</v>
      </c>
      <c r="D79" s="190">
        <f>3.09*1.25</f>
        <v>3.8624999999999998</v>
      </c>
      <c r="E79" s="190">
        <f>4.61*1.25</f>
        <v>5.7625000000000002</v>
      </c>
      <c r="F79" s="190">
        <f>12.54*1.25</f>
        <v>15.674999999999999</v>
      </c>
      <c r="G79" s="190">
        <f>107.36*1.25</f>
        <v>134.19999999999999</v>
      </c>
    </row>
    <row r="80" spans="1:7" x14ac:dyDescent="0.2">
      <c r="A80" s="189" t="s">
        <v>227</v>
      </c>
      <c r="B80" s="182" t="s">
        <v>154</v>
      </c>
      <c r="C80" s="189">
        <v>110</v>
      </c>
      <c r="D80" s="190">
        <v>5.73</v>
      </c>
      <c r="E80" s="190">
        <v>16.34</v>
      </c>
      <c r="F80" s="190">
        <v>10.38</v>
      </c>
      <c r="G80" s="190">
        <v>215</v>
      </c>
    </row>
    <row r="81" spans="1:22" x14ac:dyDescent="0.2">
      <c r="A81" s="196" t="s">
        <v>134</v>
      </c>
      <c r="B81" s="182" t="s">
        <v>155</v>
      </c>
      <c r="C81" s="189">
        <v>180</v>
      </c>
      <c r="D81" s="190">
        <f>16.26*1.2</f>
        <v>19.512</v>
      </c>
      <c r="E81" s="190">
        <f>4.03*1.2</f>
        <v>4.8360000000000003</v>
      </c>
      <c r="F81" s="190">
        <f>33.97*1.2</f>
        <v>40.763999999999996</v>
      </c>
      <c r="G81" s="190">
        <f>247.3*1.2</f>
        <v>296.76</v>
      </c>
    </row>
    <row r="82" spans="1:22" ht="29.25" customHeight="1" x14ac:dyDescent="0.2">
      <c r="A82" s="189" t="s">
        <v>42</v>
      </c>
      <c r="B82" s="182" t="s">
        <v>224</v>
      </c>
      <c r="C82" s="189">
        <v>200</v>
      </c>
      <c r="D82" s="190">
        <v>1</v>
      </c>
      <c r="E82" s="190">
        <v>0.1</v>
      </c>
      <c r="F82" s="190">
        <v>31</v>
      </c>
      <c r="G82" s="190">
        <v>135</v>
      </c>
    </row>
    <row r="83" spans="1:22" x14ac:dyDescent="0.2">
      <c r="A83" s="189"/>
      <c r="B83" s="182" t="s">
        <v>37</v>
      </c>
      <c r="C83" s="189">
        <v>20</v>
      </c>
      <c r="D83" s="190">
        <v>1</v>
      </c>
      <c r="E83" s="190">
        <v>0.08</v>
      </c>
      <c r="F83" s="190">
        <v>8</v>
      </c>
      <c r="G83" s="190">
        <v>38.520000000000003</v>
      </c>
    </row>
    <row r="84" spans="1:22" x14ac:dyDescent="0.2">
      <c r="A84" s="283" t="s">
        <v>252</v>
      </c>
      <c r="B84" s="283"/>
      <c r="C84" s="187">
        <f>SUM(C78:C83)</f>
        <v>865</v>
      </c>
      <c r="D84" s="190"/>
      <c r="E84" s="190"/>
      <c r="F84" s="190"/>
      <c r="G84" s="190"/>
    </row>
    <row r="85" spans="1:22" ht="27.95" customHeight="1" x14ac:dyDescent="0.2">
      <c r="A85" s="268" t="s">
        <v>248</v>
      </c>
      <c r="B85" s="268"/>
      <c r="C85" s="268"/>
      <c r="D85" s="186">
        <f t="shared" ref="D85:F85" si="9">D86+D92</f>
        <v>43.790700000000001</v>
      </c>
      <c r="E85" s="186">
        <f t="shared" si="9"/>
        <v>59.629000000000005</v>
      </c>
      <c r="F85" s="186">
        <f t="shared" si="9"/>
        <v>203.1711</v>
      </c>
      <c r="G85" s="186">
        <f>G86+G92</f>
        <v>1575.4197399999998</v>
      </c>
    </row>
    <row r="86" spans="1:22" x14ac:dyDescent="0.2">
      <c r="A86" s="187"/>
      <c r="B86" s="188" t="s">
        <v>66</v>
      </c>
      <c r="C86" s="187"/>
      <c r="D86" s="186">
        <f>D87+D88+D89+D90</f>
        <v>13.16</v>
      </c>
      <c r="E86" s="186">
        <f>E87+E88+E89+E90</f>
        <v>10.68</v>
      </c>
      <c r="F86" s="186">
        <f>F87+F88+F89+F90</f>
        <v>99.34</v>
      </c>
      <c r="G86" s="186">
        <f>G87+G88+G89+G90</f>
        <v>568.66999999999996</v>
      </c>
    </row>
    <row r="87" spans="1:22" x14ac:dyDescent="0.2">
      <c r="A87" s="189"/>
      <c r="B87" s="182" t="s">
        <v>41</v>
      </c>
      <c r="C87" s="189">
        <v>100</v>
      </c>
      <c r="D87" s="190">
        <v>0.4</v>
      </c>
      <c r="E87" s="190">
        <v>0</v>
      </c>
      <c r="F87" s="190">
        <v>9.8000000000000007</v>
      </c>
      <c r="G87" s="190">
        <v>42.84</v>
      </c>
    </row>
    <row r="88" spans="1:22" ht="24.75" customHeight="1" x14ac:dyDescent="0.2">
      <c r="A88" s="189" t="s">
        <v>180</v>
      </c>
      <c r="B88" s="182" t="s">
        <v>205</v>
      </c>
      <c r="C88" s="189">
        <v>203</v>
      </c>
      <c r="D88" s="190">
        <v>8.1999999999999993</v>
      </c>
      <c r="E88" s="190">
        <v>10.199999999999999</v>
      </c>
      <c r="F88" s="190">
        <v>50.02</v>
      </c>
      <c r="G88" s="190">
        <v>336.32</v>
      </c>
      <c r="H88" s="194"/>
      <c r="I88" s="194"/>
      <c r="J88" s="194"/>
      <c r="K88" s="194"/>
      <c r="L88" s="194"/>
      <c r="M88" s="194"/>
      <c r="N88" s="195"/>
      <c r="O88" s="194"/>
      <c r="P88" s="194"/>
      <c r="Q88" s="194"/>
      <c r="R88" s="194"/>
      <c r="S88" s="194"/>
    </row>
    <row r="89" spans="1:22" ht="12" customHeight="1" x14ac:dyDescent="0.2">
      <c r="A89" s="189" t="s">
        <v>182</v>
      </c>
      <c r="B89" s="182" t="s">
        <v>10</v>
      </c>
      <c r="C89" s="189">
        <v>200</v>
      </c>
      <c r="D89" s="190">
        <v>0</v>
      </c>
      <c r="E89" s="190">
        <v>0</v>
      </c>
      <c r="F89" s="190">
        <v>10</v>
      </c>
      <c r="G89" s="190">
        <v>42</v>
      </c>
      <c r="H89" s="194"/>
      <c r="I89" s="194"/>
      <c r="J89" s="194"/>
      <c r="K89" s="194"/>
      <c r="L89" s="194"/>
      <c r="M89" s="194"/>
      <c r="N89" s="195"/>
      <c r="O89" s="194"/>
      <c r="P89" s="194"/>
      <c r="Q89" s="194"/>
      <c r="R89" s="194"/>
      <c r="S89" s="194"/>
    </row>
    <row r="90" spans="1:22" x14ac:dyDescent="0.2">
      <c r="A90" s="206"/>
      <c r="B90" s="182" t="s">
        <v>11</v>
      </c>
      <c r="C90" s="189">
        <v>60</v>
      </c>
      <c r="D90" s="190">
        <f>3.04*1.5</f>
        <v>4.5600000000000005</v>
      </c>
      <c r="E90" s="190">
        <f>0.32*1.5</f>
        <v>0.48</v>
      </c>
      <c r="F90" s="190">
        <f>19.68*1.5</f>
        <v>29.52</v>
      </c>
      <c r="G90" s="190">
        <f>98.34*1.5</f>
        <v>147.51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</row>
    <row r="91" spans="1:22" x14ac:dyDescent="0.2">
      <c r="A91" s="283" t="s">
        <v>252</v>
      </c>
      <c r="B91" s="283"/>
      <c r="C91" s="207">
        <f>SUM(C87:C90)</f>
        <v>563</v>
      </c>
      <c r="D91" s="192"/>
      <c r="E91" s="192"/>
      <c r="F91" s="192"/>
      <c r="G91" s="192"/>
    </row>
    <row r="92" spans="1:22" x14ac:dyDescent="0.2">
      <c r="A92" s="196"/>
      <c r="B92" s="230" t="s">
        <v>67</v>
      </c>
      <c r="C92" s="207"/>
      <c r="D92" s="217">
        <f>D93+D94+D95+D96+D97</f>
        <v>30.630700000000001</v>
      </c>
      <c r="E92" s="217">
        <f>E93+E94+E95+E96+E97</f>
        <v>48.949000000000005</v>
      </c>
      <c r="F92" s="217">
        <f>F93+F94+F95+F96+F97</f>
        <v>103.83109999999999</v>
      </c>
      <c r="G92" s="217">
        <f>G93+G94+G95+G96+G97</f>
        <v>1006.74974</v>
      </c>
    </row>
    <row r="93" spans="1:22" ht="16.5" customHeight="1" x14ac:dyDescent="0.2">
      <c r="A93" s="189" t="s">
        <v>82</v>
      </c>
      <c r="B93" s="182" t="s">
        <v>83</v>
      </c>
      <c r="C93" s="189">
        <v>100</v>
      </c>
      <c r="D93" s="190">
        <f>1.21*1.67</f>
        <v>2.0206999999999997</v>
      </c>
      <c r="E93" s="190">
        <f>6.2*1.67</f>
        <v>10.353999999999999</v>
      </c>
      <c r="F93" s="190">
        <f>12.33*1.67</f>
        <v>20.591100000000001</v>
      </c>
      <c r="G93" s="190">
        <f>113*1.67</f>
        <v>188.70999999999998</v>
      </c>
      <c r="I93" s="209"/>
      <c r="J93" s="212"/>
      <c r="K93" s="197"/>
      <c r="L93" s="197"/>
      <c r="M93" s="197"/>
      <c r="N93" s="197"/>
      <c r="O93" s="197"/>
      <c r="P93" s="194"/>
      <c r="Q93" s="194"/>
      <c r="R93" s="194"/>
      <c r="S93" s="194"/>
      <c r="T93" s="194"/>
      <c r="U93" s="194"/>
      <c r="V93" s="194"/>
    </row>
    <row r="94" spans="1:22" ht="28.5" customHeight="1" x14ac:dyDescent="0.2">
      <c r="A94" s="189" t="s">
        <v>124</v>
      </c>
      <c r="B94" s="182" t="s">
        <v>156</v>
      </c>
      <c r="C94" s="189">
        <v>255</v>
      </c>
      <c r="D94" s="190">
        <f>3.96*1.25</f>
        <v>4.95</v>
      </c>
      <c r="E94" s="190">
        <f>4.86*1.25</f>
        <v>6.0750000000000002</v>
      </c>
      <c r="F94" s="190">
        <f>17.01*1.25</f>
        <v>21.262500000000003</v>
      </c>
      <c r="G94" s="190">
        <f>131.81*1.254</f>
        <v>165.28973999999999</v>
      </c>
      <c r="I94" s="225"/>
      <c r="J94" s="215"/>
      <c r="K94" s="184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4"/>
    </row>
    <row r="95" spans="1:22" x14ac:dyDescent="0.2">
      <c r="A95" s="189" t="s">
        <v>234</v>
      </c>
      <c r="B95" s="182" t="s">
        <v>157</v>
      </c>
      <c r="C95" s="189">
        <v>250</v>
      </c>
      <c r="D95" s="190">
        <f>16.48*1.25</f>
        <v>20.6</v>
      </c>
      <c r="E95" s="190">
        <f>25.76*1.25</f>
        <v>32.200000000000003</v>
      </c>
      <c r="F95" s="190">
        <f>10.39*1.25</f>
        <v>12.987500000000001</v>
      </c>
      <c r="G95" s="190">
        <f>345*1.25</f>
        <v>431.25</v>
      </c>
    </row>
    <row r="96" spans="1:22" ht="25.5" x14ac:dyDescent="0.2">
      <c r="A96" s="196" t="s">
        <v>40</v>
      </c>
      <c r="B96" s="182" t="s">
        <v>225</v>
      </c>
      <c r="C96" s="189">
        <v>200</v>
      </c>
      <c r="D96" s="190">
        <v>0.02</v>
      </c>
      <c r="E96" s="190"/>
      <c r="F96" s="190">
        <v>29.31</v>
      </c>
      <c r="G96" s="190">
        <v>123.16</v>
      </c>
      <c r="H96" s="212"/>
      <c r="I96" s="197"/>
      <c r="J96" s="197"/>
      <c r="K96" s="197"/>
      <c r="L96" s="197"/>
      <c r="M96" s="197"/>
      <c r="N96" s="197"/>
      <c r="O96" s="184"/>
      <c r="P96" s="197"/>
      <c r="Q96" s="197"/>
      <c r="R96" s="197"/>
      <c r="S96" s="197"/>
      <c r="T96" s="197"/>
    </row>
    <row r="97" spans="1:26" x14ac:dyDescent="0.2">
      <c r="A97" s="189"/>
      <c r="B97" s="191" t="s">
        <v>11</v>
      </c>
      <c r="C97" s="196">
        <v>40</v>
      </c>
      <c r="D97" s="192">
        <v>3.04</v>
      </c>
      <c r="E97" s="192">
        <v>0.32</v>
      </c>
      <c r="F97" s="192">
        <v>19.68</v>
      </c>
      <c r="G97" s="192">
        <v>98.34</v>
      </c>
    </row>
    <row r="98" spans="1:26" x14ac:dyDescent="0.2">
      <c r="A98" s="283" t="s">
        <v>252</v>
      </c>
      <c r="B98" s="283"/>
      <c r="C98" s="187">
        <f>SUM(C93:C97)</f>
        <v>845</v>
      </c>
      <c r="D98" s="190"/>
      <c r="E98" s="190"/>
      <c r="F98" s="190"/>
      <c r="G98" s="190"/>
    </row>
    <row r="99" spans="1:26" ht="27.95" customHeight="1" x14ac:dyDescent="0.2">
      <c r="A99" s="266" t="s">
        <v>64</v>
      </c>
      <c r="B99" s="266"/>
      <c r="C99" s="266"/>
      <c r="D99" s="186">
        <f t="shared" ref="D99:F99" si="10">D100+D106</f>
        <v>41.898800000000001</v>
      </c>
      <c r="E99" s="186">
        <f t="shared" si="10"/>
        <v>50.002899999999997</v>
      </c>
      <c r="F99" s="186">
        <f t="shared" si="10"/>
        <v>235.22310000000002</v>
      </c>
      <c r="G99" s="186">
        <f>G100+G106</f>
        <v>1639.771</v>
      </c>
    </row>
    <row r="100" spans="1:26" x14ac:dyDescent="0.2">
      <c r="A100" s="187"/>
      <c r="B100" s="188" t="s">
        <v>66</v>
      </c>
      <c r="C100" s="187"/>
      <c r="D100" s="186">
        <f>D101+D102+D103+D104</f>
        <v>19.9297</v>
      </c>
      <c r="E100" s="186">
        <f>E101+E102+E103+E104</f>
        <v>11.4693</v>
      </c>
      <c r="F100" s="186">
        <f>F101+F102+F103+F104</f>
        <v>145.93030000000002</v>
      </c>
      <c r="G100" s="186">
        <f>G101+G102+G103+G104</f>
        <v>800.61599999999999</v>
      </c>
    </row>
    <row r="101" spans="1:26" ht="26.25" customHeight="1" x14ac:dyDescent="0.2">
      <c r="A101" s="189" t="s">
        <v>180</v>
      </c>
      <c r="B101" s="182" t="s">
        <v>209</v>
      </c>
      <c r="C101" s="189">
        <v>203</v>
      </c>
      <c r="D101" s="190">
        <v>7.16</v>
      </c>
      <c r="E101" s="190">
        <v>4.66</v>
      </c>
      <c r="F101" s="190">
        <v>40.520000000000003</v>
      </c>
      <c r="G101" s="190">
        <v>242.96</v>
      </c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</row>
    <row r="102" spans="1:26" ht="13.5" customHeight="1" x14ac:dyDescent="0.2">
      <c r="A102" s="196" t="s">
        <v>199</v>
      </c>
      <c r="B102" s="182" t="s">
        <v>196</v>
      </c>
      <c r="C102" s="189">
        <v>100</v>
      </c>
      <c r="D102" s="190">
        <f>4.91*1.67</f>
        <v>8.1997</v>
      </c>
      <c r="E102" s="190">
        <f>3.79*1.67</f>
        <v>6.3292999999999999</v>
      </c>
      <c r="F102" s="190">
        <f>36.09*1.67</f>
        <v>60.270300000000006</v>
      </c>
      <c r="G102" s="190">
        <v>344.5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spans="1:26" ht="14.25" customHeight="1" x14ac:dyDescent="0.2">
      <c r="A103" s="196" t="s">
        <v>231</v>
      </c>
      <c r="B103" s="182" t="s">
        <v>160</v>
      </c>
      <c r="C103" s="189">
        <v>200</v>
      </c>
      <c r="D103" s="190">
        <v>0.01</v>
      </c>
      <c r="E103" s="190"/>
      <c r="F103" s="190">
        <v>15.62</v>
      </c>
      <c r="G103" s="190">
        <v>65.646000000000001</v>
      </c>
      <c r="H103" s="197"/>
      <c r="I103" s="197"/>
      <c r="J103" s="184"/>
      <c r="K103" s="197"/>
      <c r="L103" s="197"/>
      <c r="M103" s="184"/>
      <c r="N103" s="197"/>
      <c r="O103" s="197"/>
      <c r="P103" s="184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spans="1:26" ht="14.25" customHeight="1" x14ac:dyDescent="0.2">
      <c r="A104" s="189"/>
      <c r="B104" s="182" t="s">
        <v>11</v>
      </c>
      <c r="C104" s="189">
        <v>60</v>
      </c>
      <c r="D104" s="190">
        <f>3.04*1.5</f>
        <v>4.5600000000000005</v>
      </c>
      <c r="E104" s="190">
        <f>0.32*1.5</f>
        <v>0.48</v>
      </c>
      <c r="F104" s="190">
        <f>19.68*1.5</f>
        <v>29.52</v>
      </c>
      <c r="G104" s="190">
        <f>98.34*1.5</f>
        <v>147.51</v>
      </c>
      <c r="H104" s="198"/>
      <c r="I104" s="197"/>
      <c r="J104" s="198"/>
      <c r="K104" s="197"/>
      <c r="L104" s="197"/>
      <c r="M104" s="198"/>
      <c r="N104" s="184"/>
      <c r="O104" s="184"/>
      <c r="P104" s="184"/>
      <c r="Q104" s="184"/>
      <c r="R104" s="184"/>
      <c r="S104" s="184"/>
      <c r="T104" s="184"/>
      <c r="U104" s="184"/>
      <c r="V104" s="184"/>
      <c r="W104" s="197"/>
      <c r="X104" s="184"/>
      <c r="Y104" s="184"/>
      <c r="Z104" s="198"/>
    </row>
    <row r="105" spans="1:26" ht="18.75" customHeight="1" x14ac:dyDescent="0.2">
      <c r="A105" s="283" t="s">
        <v>252</v>
      </c>
      <c r="B105" s="283"/>
      <c r="C105" s="207">
        <f>SUM(C101:C104)</f>
        <v>563</v>
      </c>
      <c r="D105" s="192"/>
      <c r="E105" s="192"/>
      <c r="F105" s="192"/>
      <c r="G105" s="192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</row>
    <row r="106" spans="1:26" ht="17.25" customHeight="1" x14ac:dyDescent="0.2">
      <c r="A106" s="189"/>
      <c r="B106" s="230" t="s">
        <v>67</v>
      </c>
      <c r="C106" s="207"/>
      <c r="D106" s="217">
        <f>D107+D108+D109+D110+D111+D112</f>
        <v>21.969100000000001</v>
      </c>
      <c r="E106" s="217">
        <f>E107+E108+E109+E110+E111+E112</f>
        <v>38.5336</v>
      </c>
      <c r="F106" s="217">
        <f>F107+F108+F109+F110+F111+F112</f>
        <v>89.2928</v>
      </c>
      <c r="G106" s="217">
        <f>G107+G108+G109+G110+G111+G112</f>
        <v>839.15499999999997</v>
      </c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</row>
    <row r="107" spans="1:26" ht="15" customHeight="1" x14ac:dyDescent="0.2">
      <c r="A107" s="189" t="s">
        <v>192</v>
      </c>
      <c r="B107" s="182" t="s">
        <v>137</v>
      </c>
      <c r="C107" s="189">
        <v>100</v>
      </c>
      <c r="D107" s="190">
        <f>0.94*1.66</f>
        <v>1.5603999999999998</v>
      </c>
      <c r="E107" s="190">
        <f>4.06*1.66</f>
        <v>6.7395999999999994</v>
      </c>
      <c r="F107" s="190">
        <f>5.96*1.66</f>
        <v>9.8935999999999993</v>
      </c>
      <c r="G107" s="190">
        <v>108.76</v>
      </c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</row>
    <row r="108" spans="1:26" ht="24" customHeight="1" x14ac:dyDescent="0.2">
      <c r="A108" s="196" t="s">
        <v>187</v>
      </c>
      <c r="B108" s="182" t="s">
        <v>161</v>
      </c>
      <c r="C108" s="189">
        <v>260</v>
      </c>
      <c r="D108" s="190">
        <f>4.65*1.25</f>
        <v>5.8125</v>
      </c>
      <c r="E108" s="190">
        <f>6.92*1.25</f>
        <v>8.65</v>
      </c>
      <c r="F108" s="190">
        <f>12.49*1.25</f>
        <v>15.612500000000001</v>
      </c>
      <c r="G108" s="190">
        <f>134.268*1.25</f>
        <v>167.83500000000001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</row>
    <row r="109" spans="1:26" ht="14.25" customHeight="1" x14ac:dyDescent="0.2">
      <c r="A109" s="196" t="s">
        <v>235</v>
      </c>
      <c r="B109" s="182" t="s">
        <v>202</v>
      </c>
      <c r="C109" s="221">
        <v>100</v>
      </c>
      <c r="D109" s="190">
        <v>9.6300000000000008</v>
      </c>
      <c r="E109" s="190">
        <v>12.61</v>
      </c>
      <c r="F109" s="190">
        <v>8.51</v>
      </c>
      <c r="G109" s="190">
        <v>189.68</v>
      </c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</row>
    <row r="110" spans="1:26" ht="14.25" customHeight="1" x14ac:dyDescent="0.2">
      <c r="A110" s="189" t="s">
        <v>34</v>
      </c>
      <c r="B110" s="182" t="s">
        <v>32</v>
      </c>
      <c r="C110" s="189">
        <v>200</v>
      </c>
      <c r="D110" s="190">
        <v>3.26</v>
      </c>
      <c r="E110" s="190">
        <f>7.8*1.33</f>
        <v>10.374000000000001</v>
      </c>
      <c r="F110" s="190">
        <f>21.99*1.33</f>
        <v>29.246700000000001</v>
      </c>
      <c r="G110" s="190">
        <v>234.48</v>
      </c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</row>
    <row r="111" spans="1:26" ht="15.75" customHeight="1" x14ac:dyDescent="0.2">
      <c r="A111" s="189" t="s">
        <v>194</v>
      </c>
      <c r="B111" s="182" t="s">
        <v>90</v>
      </c>
      <c r="C111" s="189">
        <v>200</v>
      </c>
      <c r="D111" s="190">
        <f>0.14*1.33</f>
        <v>0.18620000000000003</v>
      </c>
      <c r="E111" s="190"/>
      <c r="F111" s="190">
        <v>16.190000000000001</v>
      </c>
      <c r="G111" s="190">
        <v>89.23</v>
      </c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</row>
    <row r="112" spans="1:26" ht="13.5" customHeight="1" x14ac:dyDescent="0.2">
      <c r="A112" s="206"/>
      <c r="B112" s="182" t="s">
        <v>11</v>
      </c>
      <c r="C112" s="189">
        <v>20</v>
      </c>
      <c r="D112" s="190">
        <v>1.52</v>
      </c>
      <c r="E112" s="190">
        <v>0.16</v>
      </c>
      <c r="F112" s="190">
        <v>9.84</v>
      </c>
      <c r="G112" s="190">
        <v>49.17</v>
      </c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</row>
    <row r="113" spans="1:26" x14ac:dyDescent="0.2">
      <c r="A113" s="283" t="s">
        <v>252</v>
      </c>
      <c r="B113" s="283"/>
      <c r="C113" s="208">
        <f>SUM(C107:C112)</f>
        <v>880</v>
      </c>
      <c r="D113" s="190"/>
      <c r="E113" s="190"/>
      <c r="F113" s="190"/>
      <c r="G113" s="190"/>
      <c r="H113" s="231"/>
      <c r="I113" s="197"/>
      <c r="J113" s="198"/>
      <c r="K113" s="197"/>
      <c r="L113" s="197"/>
      <c r="M113" s="198"/>
      <c r="N113" s="184"/>
      <c r="O113" s="184"/>
      <c r="P113" s="184"/>
      <c r="Q113" s="184"/>
      <c r="R113" s="184"/>
      <c r="S113" s="184"/>
      <c r="T113" s="184"/>
      <c r="U113" s="184"/>
      <c r="V113" s="184"/>
      <c r="W113" s="197"/>
      <c r="X113" s="184"/>
      <c r="Y113" s="184"/>
      <c r="Z113" s="198"/>
    </row>
    <row r="114" spans="1:26" ht="27.95" customHeight="1" x14ac:dyDescent="0.2">
      <c r="A114" s="268" t="s">
        <v>249</v>
      </c>
      <c r="B114" s="268"/>
      <c r="C114" s="268"/>
      <c r="D114" s="186">
        <f t="shared" ref="D114:F114" si="11">D115+D121</f>
        <v>46.133040000000001</v>
      </c>
      <c r="E114" s="186">
        <f t="shared" si="11"/>
        <v>73.291159999999991</v>
      </c>
      <c r="F114" s="186">
        <f t="shared" si="11"/>
        <v>210.13928000000001</v>
      </c>
      <c r="G114" s="186">
        <f>G115+G121</f>
        <v>1737.0284999999999</v>
      </c>
    </row>
    <row r="115" spans="1:26" x14ac:dyDescent="0.2">
      <c r="A115" s="187"/>
      <c r="B115" s="188" t="s">
        <v>66</v>
      </c>
      <c r="C115" s="187"/>
      <c r="D115" s="186">
        <f>D116+D117+D118+D119</f>
        <v>15.9025</v>
      </c>
      <c r="E115" s="186">
        <f>E116+E117+E118+E119</f>
        <v>24.447499999999998</v>
      </c>
      <c r="F115" s="186">
        <f>F116+F117+F118+F119</f>
        <v>113.9375</v>
      </c>
      <c r="G115" s="186">
        <f>G116+G117+G118+G119</f>
        <v>765.40499999999997</v>
      </c>
    </row>
    <row r="116" spans="1:26" ht="25.5" x14ac:dyDescent="0.2">
      <c r="A116" s="189" t="s">
        <v>180</v>
      </c>
      <c r="B116" s="182" t="s">
        <v>206</v>
      </c>
      <c r="C116" s="189">
        <v>253</v>
      </c>
      <c r="D116" s="190">
        <f>7.81*1.25</f>
        <v>9.7624999999999993</v>
      </c>
      <c r="E116" s="190">
        <f>4.55*1.25</f>
        <v>5.6875</v>
      </c>
      <c r="F116" s="190">
        <f>33.47*1.25</f>
        <v>41.837499999999999</v>
      </c>
      <c r="G116" s="190">
        <v>267.91000000000003</v>
      </c>
    </row>
    <row r="117" spans="1:26" x14ac:dyDescent="0.2">
      <c r="A117" s="189"/>
      <c r="B117" s="182" t="s">
        <v>201</v>
      </c>
      <c r="C117" s="221">
        <v>60</v>
      </c>
      <c r="D117" s="190">
        <v>2.34</v>
      </c>
      <c r="E117" s="190">
        <v>18.36</v>
      </c>
      <c r="F117" s="190">
        <v>37.5</v>
      </c>
      <c r="G117" s="190">
        <v>332.57</v>
      </c>
    </row>
    <row r="118" spans="1:26" x14ac:dyDescent="0.2">
      <c r="A118" s="189" t="s">
        <v>182</v>
      </c>
      <c r="B118" s="182" t="s">
        <v>10</v>
      </c>
      <c r="C118" s="221">
        <v>200</v>
      </c>
      <c r="D118" s="190">
        <v>0</v>
      </c>
      <c r="E118" s="190">
        <v>0</v>
      </c>
      <c r="F118" s="190">
        <v>10</v>
      </c>
      <c r="G118" s="190">
        <v>42</v>
      </c>
    </row>
    <row r="119" spans="1:26" x14ac:dyDescent="0.2">
      <c r="A119" s="196"/>
      <c r="B119" s="191" t="s">
        <v>11</v>
      </c>
      <c r="C119" s="189">
        <v>50</v>
      </c>
      <c r="D119" s="190">
        <f>3.04*1.25</f>
        <v>3.8</v>
      </c>
      <c r="E119" s="190">
        <f>0.32*1.25</f>
        <v>0.4</v>
      </c>
      <c r="F119" s="190">
        <f>19.68*1.25</f>
        <v>24.6</v>
      </c>
      <c r="G119" s="190">
        <f>98.34*1.25</f>
        <v>122.92500000000001</v>
      </c>
    </row>
    <row r="120" spans="1:26" x14ac:dyDescent="0.2">
      <c r="A120" s="283" t="s">
        <v>252</v>
      </c>
      <c r="B120" s="283"/>
      <c r="C120" s="229">
        <f>SUM(C116:C119)</f>
        <v>563</v>
      </c>
      <c r="D120" s="190"/>
      <c r="E120" s="190"/>
      <c r="F120" s="190"/>
      <c r="G120" s="190"/>
    </row>
    <row r="121" spans="1:26" x14ac:dyDescent="0.2">
      <c r="A121" s="206"/>
      <c r="B121" s="230" t="s">
        <v>67</v>
      </c>
      <c r="C121" s="224"/>
      <c r="D121" s="186">
        <f>D122+D123+D124+D125+D126+D127</f>
        <v>30.230540000000001</v>
      </c>
      <c r="E121" s="186">
        <f t="shared" ref="E121:F121" si="12">E122+E123+E124+E125+E126+E127</f>
        <v>48.84366</v>
      </c>
      <c r="F121" s="186">
        <f t="shared" si="12"/>
        <v>96.201780000000014</v>
      </c>
      <c r="G121" s="186">
        <f>G122+G123+G124+G125+G126+G127</f>
        <v>971.62349999999992</v>
      </c>
    </row>
    <row r="122" spans="1:26" x14ac:dyDescent="0.2">
      <c r="A122" s="189" t="s">
        <v>68</v>
      </c>
      <c r="B122" s="182" t="s">
        <v>69</v>
      </c>
      <c r="C122" s="189">
        <v>100</v>
      </c>
      <c r="D122" s="190">
        <f>0.84*1.666</f>
        <v>1.3994399999999998</v>
      </c>
      <c r="E122" s="190">
        <f>3.06*1.666</f>
        <v>5.0979599999999996</v>
      </c>
      <c r="F122" s="190">
        <f>6.83*1.666</f>
        <v>11.378779999999999</v>
      </c>
      <c r="G122" s="190">
        <f>59.75*1.666</f>
        <v>99.543499999999995</v>
      </c>
    </row>
    <row r="123" spans="1:26" ht="25.5" x14ac:dyDescent="0.2">
      <c r="A123" s="189" t="s">
        <v>130</v>
      </c>
      <c r="B123" s="182" t="s">
        <v>165</v>
      </c>
      <c r="C123" s="189">
        <v>260</v>
      </c>
      <c r="D123" s="190">
        <f>7.49*1.25</f>
        <v>9.3625000000000007</v>
      </c>
      <c r="E123" s="190">
        <f>(10.16+12.36)*1.25</f>
        <v>28.15</v>
      </c>
      <c r="F123" s="190">
        <f>(4.87+8.96)*1.25</f>
        <v>17.287500000000001</v>
      </c>
      <c r="G123" s="190">
        <v>365.28</v>
      </c>
    </row>
    <row r="124" spans="1:26" x14ac:dyDescent="0.2">
      <c r="A124" s="189" t="s">
        <v>131</v>
      </c>
      <c r="B124" s="182" t="s">
        <v>146</v>
      </c>
      <c r="C124" s="189">
        <v>100</v>
      </c>
      <c r="D124" s="190">
        <f>11.84*1.11</f>
        <v>13.1424</v>
      </c>
      <c r="E124" s="190">
        <f>10.06*1.11</f>
        <v>11.166600000000001</v>
      </c>
      <c r="F124" s="190">
        <f>16.03*1.11</f>
        <v>17.793300000000002</v>
      </c>
      <c r="G124" s="190">
        <f>208*1.11</f>
        <v>230.88000000000002</v>
      </c>
    </row>
    <row r="125" spans="1:26" x14ac:dyDescent="0.2">
      <c r="A125" s="189" t="s">
        <v>166</v>
      </c>
      <c r="B125" s="182" t="s">
        <v>167</v>
      </c>
      <c r="C125" s="189">
        <v>200</v>
      </c>
      <c r="D125" s="190">
        <f>3.14*1.33</f>
        <v>4.1762000000000006</v>
      </c>
      <c r="E125" s="190">
        <f>3.27*1.33</f>
        <v>4.3491</v>
      </c>
      <c r="F125" s="190">
        <f>22.34*1.33</f>
        <v>29.712200000000003</v>
      </c>
      <c r="G125" s="190">
        <v>182</v>
      </c>
    </row>
    <row r="126" spans="1:26" x14ac:dyDescent="0.2">
      <c r="A126" s="196" t="s">
        <v>42</v>
      </c>
      <c r="B126" s="182" t="s">
        <v>223</v>
      </c>
      <c r="C126" s="189">
        <v>200</v>
      </c>
      <c r="D126" s="190">
        <f>1.15</f>
        <v>1.1499999999999999</v>
      </c>
      <c r="E126" s="190"/>
      <c r="F126" s="190">
        <v>12.03</v>
      </c>
      <c r="G126" s="190">
        <v>55.4</v>
      </c>
    </row>
    <row r="127" spans="1:26" x14ac:dyDescent="0.2">
      <c r="A127" s="206"/>
      <c r="B127" s="182" t="s">
        <v>37</v>
      </c>
      <c r="C127" s="189">
        <v>20</v>
      </c>
      <c r="D127" s="190">
        <v>1</v>
      </c>
      <c r="E127" s="190">
        <v>0.08</v>
      </c>
      <c r="F127" s="190">
        <v>8</v>
      </c>
      <c r="G127" s="190">
        <v>38.520000000000003</v>
      </c>
    </row>
    <row r="128" spans="1:26" x14ac:dyDescent="0.2">
      <c r="A128" s="283" t="s">
        <v>252</v>
      </c>
      <c r="B128" s="283"/>
      <c r="C128" s="187">
        <f>SUM(C122:C127)</f>
        <v>880</v>
      </c>
      <c r="D128" s="190"/>
      <c r="E128" s="190"/>
      <c r="F128" s="190"/>
      <c r="G128" s="190"/>
    </row>
    <row r="129" spans="1:7" ht="27.95" customHeight="1" x14ac:dyDescent="0.2">
      <c r="A129" s="268" t="s">
        <v>250</v>
      </c>
      <c r="B129" s="268"/>
      <c r="C129" s="268"/>
      <c r="D129" s="186">
        <f>D130+D137</f>
        <v>60.436</v>
      </c>
      <c r="E129" s="186">
        <f t="shared" ref="E129:F129" si="13">E130+E137</f>
        <v>35.736499999999999</v>
      </c>
      <c r="F129" s="186">
        <f t="shared" si="13"/>
        <v>223.9469</v>
      </c>
      <c r="G129" s="186">
        <f>G130+G137</f>
        <v>1515.8574399999998</v>
      </c>
    </row>
    <row r="130" spans="1:7" x14ac:dyDescent="0.2">
      <c r="A130" s="187"/>
      <c r="B130" s="188" t="s">
        <v>66</v>
      </c>
      <c r="C130" s="187"/>
      <c r="D130" s="186">
        <f>D131+D132+D133+D134+D135</f>
        <v>36.413600000000002</v>
      </c>
      <c r="E130" s="186">
        <f t="shared" ref="E130" si="14">E131+E132+E133+E134+E135</f>
        <v>14.4633</v>
      </c>
      <c r="F130" s="186">
        <f>F131+F132+F133+F134+F135</f>
        <v>88.35</v>
      </c>
      <c r="G130" s="186">
        <f>G131+G132+G133+G134+G135</f>
        <v>654.27199999999993</v>
      </c>
    </row>
    <row r="131" spans="1:7" ht="15" customHeight="1" x14ac:dyDescent="0.2">
      <c r="A131" s="189"/>
      <c r="B131" s="182" t="s">
        <v>168</v>
      </c>
      <c r="C131" s="189">
        <v>40</v>
      </c>
      <c r="D131" s="190">
        <v>5.08</v>
      </c>
      <c r="E131" s="190">
        <v>4.5999999999999996</v>
      </c>
      <c r="F131" s="190">
        <v>0.28000000000000003</v>
      </c>
      <c r="G131" s="190">
        <v>63.911999999999999</v>
      </c>
    </row>
    <row r="132" spans="1:7" ht="25.5" x14ac:dyDescent="0.2">
      <c r="A132" s="189" t="s">
        <v>39</v>
      </c>
      <c r="B132" s="211" t="s">
        <v>264</v>
      </c>
      <c r="C132" s="199">
        <v>160</v>
      </c>
      <c r="D132" s="200">
        <f>18.92*1.33+0.06</f>
        <v>25.223600000000001</v>
      </c>
      <c r="E132" s="200">
        <f>7.01*1.33+0.06</f>
        <v>9.3833000000000002</v>
      </c>
      <c r="F132" s="200">
        <f>15*1.33+16.77</f>
        <v>36.72</v>
      </c>
      <c r="G132" s="200">
        <v>344.61</v>
      </c>
    </row>
    <row r="133" spans="1:7" x14ac:dyDescent="0.2">
      <c r="A133" s="189"/>
      <c r="B133" s="182" t="s">
        <v>41</v>
      </c>
      <c r="C133" s="189">
        <v>100</v>
      </c>
      <c r="D133" s="190">
        <v>0.4</v>
      </c>
      <c r="E133" s="190">
        <v>0</v>
      </c>
      <c r="F133" s="190">
        <v>9.8000000000000007</v>
      </c>
      <c r="G133" s="190">
        <v>42.84</v>
      </c>
    </row>
    <row r="134" spans="1:7" ht="16.5" customHeight="1" x14ac:dyDescent="0.2">
      <c r="A134" s="189" t="s">
        <v>42</v>
      </c>
      <c r="B134" s="182" t="s">
        <v>223</v>
      </c>
      <c r="C134" s="189">
        <v>200</v>
      </c>
      <c r="D134" s="190">
        <v>1.1499999999999999</v>
      </c>
      <c r="E134" s="190"/>
      <c r="F134" s="190">
        <v>12.03</v>
      </c>
      <c r="G134" s="190">
        <v>55.4</v>
      </c>
    </row>
    <row r="135" spans="1:7" x14ac:dyDescent="0.2">
      <c r="A135" s="196"/>
      <c r="B135" s="182" t="s">
        <v>11</v>
      </c>
      <c r="C135" s="189">
        <v>60</v>
      </c>
      <c r="D135" s="190">
        <f>3.04*1.5</f>
        <v>4.5600000000000005</v>
      </c>
      <c r="E135" s="190">
        <f>0.32*1.5</f>
        <v>0.48</v>
      </c>
      <c r="F135" s="190">
        <f>19.68*1.5</f>
        <v>29.52</v>
      </c>
      <c r="G135" s="190">
        <f>98.34*1.5</f>
        <v>147.51</v>
      </c>
    </row>
    <row r="136" spans="1:7" x14ac:dyDescent="0.2">
      <c r="A136" s="283" t="s">
        <v>252</v>
      </c>
      <c r="B136" s="283"/>
      <c r="C136" s="187">
        <f>SUM(C131:C135)</f>
        <v>560</v>
      </c>
      <c r="D136" s="190"/>
      <c r="E136" s="190"/>
      <c r="F136" s="190"/>
      <c r="G136" s="190"/>
    </row>
    <row r="137" spans="1:7" ht="18.75" customHeight="1" x14ac:dyDescent="0.2">
      <c r="A137" s="189"/>
      <c r="B137" s="230" t="s">
        <v>67</v>
      </c>
      <c r="C137" s="187"/>
      <c r="D137" s="186">
        <f>D138+D139+D140+D141+D142+D143</f>
        <v>24.022399999999998</v>
      </c>
      <c r="E137" s="186">
        <f t="shared" ref="E137:F137" si="15">E138+E139+E140+E141+E142+E143</f>
        <v>21.273199999999999</v>
      </c>
      <c r="F137" s="186">
        <f t="shared" si="15"/>
        <v>135.59690000000001</v>
      </c>
      <c r="G137" s="186">
        <f>G138+G139+G140+G141+G142+G143</f>
        <v>861.58543999999995</v>
      </c>
    </row>
    <row r="138" spans="1:7" x14ac:dyDescent="0.2">
      <c r="A138" s="206" t="s">
        <v>193</v>
      </c>
      <c r="B138" s="182" t="s">
        <v>148</v>
      </c>
      <c r="C138" s="189">
        <v>100</v>
      </c>
      <c r="D138" s="190">
        <f>0.74*1.66</f>
        <v>1.2283999999999999</v>
      </c>
      <c r="E138" s="190">
        <f>0.06*1.67</f>
        <v>0.1002</v>
      </c>
      <c r="F138" s="190">
        <f>16.92*1.67</f>
        <v>28.256400000000003</v>
      </c>
      <c r="G138" s="190">
        <f>74.71*1.67</f>
        <v>124.76569999999998</v>
      </c>
    </row>
    <row r="139" spans="1:7" ht="25.5" x14ac:dyDescent="0.2">
      <c r="A139" s="189" t="s">
        <v>124</v>
      </c>
      <c r="B139" s="182" t="s">
        <v>156</v>
      </c>
      <c r="C139" s="189">
        <v>255</v>
      </c>
      <c r="D139" s="190">
        <f>3.96*1.25</f>
        <v>4.95</v>
      </c>
      <c r="E139" s="190">
        <f>4.86*1.25</f>
        <v>6.0750000000000002</v>
      </c>
      <c r="F139" s="190">
        <f>17.01*1.25</f>
        <v>21.262500000000003</v>
      </c>
      <c r="G139" s="190">
        <f>131.81*1.254</f>
        <v>165.28973999999999</v>
      </c>
    </row>
    <row r="140" spans="1:7" x14ac:dyDescent="0.2">
      <c r="A140" s="189" t="s">
        <v>226</v>
      </c>
      <c r="B140" s="182" t="s">
        <v>140</v>
      </c>
      <c r="C140" s="189">
        <v>115</v>
      </c>
      <c r="D140" s="190">
        <v>6.32</v>
      </c>
      <c r="E140" s="190">
        <v>8.7899999999999991</v>
      </c>
      <c r="F140" s="190">
        <v>19.37</v>
      </c>
      <c r="G140" s="190">
        <v>187.01</v>
      </c>
    </row>
    <row r="141" spans="1:7" x14ac:dyDescent="0.2">
      <c r="A141" s="196" t="s">
        <v>38</v>
      </c>
      <c r="B141" s="182" t="s">
        <v>36</v>
      </c>
      <c r="C141" s="189">
        <v>180</v>
      </c>
      <c r="D141" s="190">
        <f>8.77*1.2</f>
        <v>10.523999999999999</v>
      </c>
      <c r="E141" s="190">
        <f>5.19*1.2</f>
        <v>6.2280000000000006</v>
      </c>
      <c r="F141" s="190">
        <f>39.6*1.23</f>
        <v>48.707999999999998</v>
      </c>
      <c r="G141" s="190">
        <v>304</v>
      </c>
    </row>
    <row r="142" spans="1:7" x14ac:dyDescent="0.2">
      <c r="A142" s="189" t="s">
        <v>182</v>
      </c>
      <c r="B142" s="182" t="s">
        <v>10</v>
      </c>
      <c r="C142" s="189">
        <v>200</v>
      </c>
      <c r="D142" s="190">
        <v>0</v>
      </c>
      <c r="E142" s="190">
        <v>0</v>
      </c>
      <c r="F142" s="190">
        <v>10</v>
      </c>
      <c r="G142" s="190">
        <v>42</v>
      </c>
    </row>
    <row r="143" spans="1:7" ht="12" customHeight="1" x14ac:dyDescent="0.2">
      <c r="A143" s="206"/>
      <c r="B143" s="182" t="s">
        <v>37</v>
      </c>
      <c r="C143" s="189">
        <v>20</v>
      </c>
      <c r="D143" s="190">
        <v>1</v>
      </c>
      <c r="E143" s="190">
        <v>0.08</v>
      </c>
      <c r="F143" s="190">
        <v>8</v>
      </c>
      <c r="G143" s="190">
        <v>38.520000000000003</v>
      </c>
    </row>
    <row r="144" spans="1:7" x14ac:dyDescent="0.2">
      <c r="A144" s="283" t="s">
        <v>252</v>
      </c>
      <c r="B144" s="283"/>
      <c r="C144" s="187">
        <f>SUM(C138:C143)</f>
        <v>870</v>
      </c>
      <c r="D144" s="190"/>
      <c r="E144" s="190"/>
      <c r="F144" s="190"/>
      <c r="G144" s="190"/>
    </row>
    <row r="145" spans="1:27" ht="27.95" customHeight="1" x14ac:dyDescent="0.2">
      <c r="A145" s="266" t="s">
        <v>251</v>
      </c>
      <c r="B145" s="266"/>
      <c r="C145" s="266"/>
      <c r="D145" s="186">
        <f>D146+D153</f>
        <v>51.641499999999994</v>
      </c>
      <c r="E145" s="186">
        <f t="shared" ref="E145:F145" si="16">E146+E153</f>
        <v>52.744999999999997</v>
      </c>
      <c r="F145" s="186">
        <f t="shared" si="16"/>
        <v>195.43076000000002</v>
      </c>
      <c r="G145" s="186">
        <f>G146+G153</f>
        <v>1513.1759999999999</v>
      </c>
      <c r="H145" s="226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2"/>
    </row>
    <row r="146" spans="1:27" x14ac:dyDescent="0.2">
      <c r="A146" s="187"/>
      <c r="B146" s="188" t="s">
        <v>66</v>
      </c>
      <c r="C146" s="187"/>
      <c r="D146" s="186">
        <f>D147+D148+D149+D150+D151</f>
        <v>27.141999999999996</v>
      </c>
      <c r="E146" s="186">
        <f>E147+E148+E149+E150+E151</f>
        <v>13.744000000000002</v>
      </c>
      <c r="F146" s="186">
        <f>F147+F148+F149+F150+F151</f>
        <v>92.66</v>
      </c>
      <c r="G146" s="186">
        <f>G147+G148+G149+G150+G151</f>
        <v>627.68599999999992</v>
      </c>
      <c r="H146" s="226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2"/>
    </row>
    <row r="147" spans="1:27" x14ac:dyDescent="0.2">
      <c r="A147" s="189" t="s">
        <v>233</v>
      </c>
      <c r="B147" s="182" t="s">
        <v>170</v>
      </c>
      <c r="C147" s="189">
        <v>100</v>
      </c>
      <c r="D147" s="190">
        <v>17.829999999999998</v>
      </c>
      <c r="E147" s="190">
        <v>7.99</v>
      </c>
      <c r="F147" s="190">
        <v>4.25</v>
      </c>
      <c r="G147" s="190">
        <v>165</v>
      </c>
      <c r="H147" s="197"/>
      <c r="I147" s="197"/>
      <c r="J147" s="197"/>
      <c r="K147" s="197"/>
      <c r="L147" s="197"/>
      <c r="M147" s="197"/>
      <c r="N147" s="197"/>
      <c r="O147" s="197"/>
      <c r="P147" s="184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spans="1:27" x14ac:dyDescent="0.2">
      <c r="A148" s="196" t="s">
        <v>189</v>
      </c>
      <c r="B148" s="182" t="s">
        <v>159</v>
      </c>
      <c r="C148" s="189">
        <v>180</v>
      </c>
      <c r="D148" s="190">
        <f>3.81*1.2</f>
        <v>4.5720000000000001</v>
      </c>
      <c r="E148" s="190">
        <f>2.72*1.2</f>
        <v>3.2640000000000002</v>
      </c>
      <c r="F148" s="190">
        <f>40*1.2</f>
        <v>48</v>
      </c>
      <c r="G148" s="190">
        <f>208.48*1.2</f>
        <v>250.17599999999999</v>
      </c>
      <c r="H148" s="197"/>
      <c r="I148" s="197"/>
      <c r="J148" s="197"/>
      <c r="K148" s="197"/>
      <c r="L148" s="197"/>
      <c r="M148" s="197"/>
      <c r="N148" s="184"/>
      <c r="O148" s="184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spans="1:27" x14ac:dyDescent="0.2">
      <c r="A149" s="206" t="s">
        <v>191</v>
      </c>
      <c r="B149" s="182" t="s">
        <v>171</v>
      </c>
      <c r="C149" s="189">
        <v>20</v>
      </c>
      <c r="D149" s="190">
        <v>0.18</v>
      </c>
      <c r="E149" s="190">
        <v>2.0099999999999998</v>
      </c>
      <c r="F149" s="190">
        <v>0.89</v>
      </c>
      <c r="G149" s="190">
        <v>23</v>
      </c>
      <c r="H149" s="197"/>
      <c r="I149" s="197"/>
      <c r="J149" s="184"/>
      <c r="K149" s="197"/>
      <c r="L149" s="197"/>
      <c r="M149" s="197"/>
      <c r="N149" s="197"/>
      <c r="O149" s="197"/>
      <c r="P149" s="184"/>
      <c r="Q149" s="184"/>
      <c r="R149" s="184"/>
      <c r="S149" s="184"/>
      <c r="T149" s="184"/>
      <c r="U149" s="184"/>
      <c r="V149" s="184"/>
      <c r="W149" s="197"/>
      <c r="X149" s="184"/>
      <c r="Y149" s="184"/>
      <c r="Z149" s="197"/>
    </row>
    <row r="150" spans="1:27" x14ac:dyDescent="0.2">
      <c r="A150" s="189" t="s">
        <v>182</v>
      </c>
      <c r="B150" s="182" t="s">
        <v>10</v>
      </c>
      <c r="C150" s="206">
        <v>200</v>
      </c>
      <c r="D150" s="190">
        <v>0</v>
      </c>
      <c r="E150" s="190">
        <v>0</v>
      </c>
      <c r="F150" s="190">
        <v>10</v>
      </c>
      <c r="G150" s="190">
        <v>42</v>
      </c>
      <c r="H150" s="197"/>
      <c r="I150" s="197"/>
      <c r="J150" s="184"/>
      <c r="K150" s="197"/>
      <c r="L150" s="197"/>
      <c r="M150" s="197"/>
      <c r="N150" s="197"/>
      <c r="O150" s="197"/>
      <c r="P150" s="184"/>
      <c r="Q150" s="184"/>
      <c r="R150" s="184"/>
      <c r="S150" s="184"/>
      <c r="T150" s="184"/>
      <c r="U150" s="184"/>
      <c r="V150" s="184"/>
      <c r="W150" s="197"/>
      <c r="X150" s="184"/>
      <c r="Y150" s="184"/>
      <c r="Z150" s="197"/>
    </row>
    <row r="151" spans="1:27" x14ac:dyDescent="0.2">
      <c r="A151" s="196"/>
      <c r="B151" s="182" t="s">
        <v>11</v>
      </c>
      <c r="C151" s="189">
        <v>60</v>
      </c>
      <c r="D151" s="190">
        <f>3.04*1.5</f>
        <v>4.5600000000000005</v>
      </c>
      <c r="E151" s="190">
        <f>0.32*1.5</f>
        <v>0.48</v>
      </c>
      <c r="F151" s="190">
        <f>19.68*1.5</f>
        <v>29.52</v>
      </c>
      <c r="G151" s="190">
        <f>98.34*1.5</f>
        <v>147.51</v>
      </c>
      <c r="H151" s="198"/>
      <c r="I151" s="197"/>
      <c r="J151" s="198"/>
      <c r="K151" s="197"/>
      <c r="L151" s="197"/>
      <c r="M151" s="198"/>
      <c r="N151" s="184"/>
      <c r="O151" s="184"/>
      <c r="P151" s="184"/>
      <c r="Q151" s="184"/>
      <c r="R151" s="184"/>
      <c r="S151" s="184"/>
      <c r="T151" s="184"/>
      <c r="U151" s="184"/>
      <c r="V151" s="184"/>
      <c r="W151" s="197"/>
      <c r="X151" s="184"/>
      <c r="Y151" s="184"/>
      <c r="Z151" s="198"/>
    </row>
    <row r="152" spans="1:27" x14ac:dyDescent="0.2">
      <c r="A152" s="283" t="s">
        <v>252</v>
      </c>
      <c r="B152" s="283"/>
      <c r="C152" s="208">
        <f>SUM(C147:C151)</f>
        <v>560</v>
      </c>
      <c r="D152" s="190"/>
      <c r="E152" s="190"/>
      <c r="F152" s="190"/>
      <c r="G152" s="190"/>
      <c r="H152" s="227"/>
      <c r="I152" s="203"/>
      <c r="J152" s="204"/>
      <c r="K152" s="203"/>
      <c r="L152" s="203"/>
      <c r="M152" s="203"/>
      <c r="N152" s="205"/>
      <c r="O152" s="205"/>
      <c r="P152" s="204"/>
      <c r="Q152" s="204"/>
      <c r="R152" s="204"/>
      <c r="S152" s="204"/>
      <c r="T152" s="204"/>
      <c r="U152" s="204"/>
      <c r="V152" s="204"/>
      <c r="W152" s="205"/>
      <c r="X152" s="204"/>
      <c r="Y152" s="204"/>
      <c r="Z152" s="205"/>
    </row>
    <row r="153" spans="1:27" x14ac:dyDescent="0.2">
      <c r="A153" s="189"/>
      <c r="B153" s="230" t="s">
        <v>67</v>
      </c>
      <c r="C153" s="187"/>
      <c r="D153" s="186">
        <f>D154+D155+D156+D157+D158+D159</f>
        <v>24.499499999999998</v>
      </c>
      <c r="E153" s="186">
        <f t="shared" ref="E153:F153" si="17">E154+E155+E156+E157+E158+E159</f>
        <v>39.000999999999998</v>
      </c>
      <c r="F153" s="186">
        <f t="shared" si="17"/>
        <v>102.77076000000001</v>
      </c>
      <c r="G153" s="186">
        <f>G154+G155+G156+G157+G158+G159</f>
        <v>885.49</v>
      </c>
      <c r="H153" s="227"/>
      <c r="I153" s="203"/>
      <c r="J153" s="204"/>
      <c r="K153" s="203"/>
      <c r="L153" s="203"/>
      <c r="M153" s="203"/>
      <c r="N153" s="205"/>
      <c r="O153" s="205"/>
      <c r="P153" s="204"/>
      <c r="Q153" s="204"/>
      <c r="R153" s="204"/>
      <c r="S153" s="204"/>
      <c r="T153" s="204"/>
      <c r="U153" s="204"/>
      <c r="V153" s="204"/>
      <c r="W153" s="205"/>
      <c r="X153" s="204"/>
      <c r="Y153" s="204"/>
      <c r="Z153" s="205"/>
    </row>
    <row r="154" spans="1:27" x14ac:dyDescent="0.2">
      <c r="A154" s="189" t="s">
        <v>142</v>
      </c>
      <c r="B154" s="182" t="s">
        <v>143</v>
      </c>
      <c r="C154" s="189">
        <v>100</v>
      </c>
      <c r="D154" s="190">
        <f>0.9*1.67</f>
        <v>1.5029999999999999</v>
      </c>
      <c r="E154" s="190">
        <v>0.06</v>
      </c>
      <c r="F154" s="190">
        <f>8.28*1.667</f>
        <v>13.802759999999999</v>
      </c>
      <c r="G154" s="190">
        <v>64.28</v>
      </c>
      <c r="H154" s="227"/>
      <c r="I154" s="203"/>
      <c r="J154" s="204"/>
      <c r="K154" s="203"/>
      <c r="L154" s="203"/>
      <c r="M154" s="203"/>
      <c r="N154" s="205"/>
      <c r="O154" s="205"/>
      <c r="P154" s="204"/>
      <c r="Q154" s="204"/>
      <c r="R154" s="204"/>
      <c r="S154" s="204"/>
      <c r="T154" s="204"/>
      <c r="U154" s="204"/>
      <c r="V154" s="204"/>
      <c r="W154" s="205"/>
      <c r="X154" s="204"/>
      <c r="Y154" s="204"/>
      <c r="Z154" s="205"/>
    </row>
    <row r="155" spans="1:27" ht="25.5" x14ac:dyDescent="0.2">
      <c r="A155" s="196" t="s">
        <v>101</v>
      </c>
      <c r="B155" s="182" t="s">
        <v>172</v>
      </c>
      <c r="C155" s="189">
        <v>255</v>
      </c>
      <c r="D155" s="190">
        <f>5.81*1.25</f>
        <v>7.2624999999999993</v>
      </c>
      <c r="E155" s="190">
        <f>11.82*1.25</f>
        <v>14.775</v>
      </c>
      <c r="F155" s="190">
        <f>15.48*1.25</f>
        <v>19.350000000000001</v>
      </c>
      <c r="G155" s="190">
        <f>196*1.25</f>
        <v>245</v>
      </c>
      <c r="H155" s="227"/>
      <c r="I155" s="203"/>
      <c r="J155" s="204"/>
      <c r="K155" s="203"/>
      <c r="L155" s="203"/>
      <c r="M155" s="203"/>
      <c r="N155" s="205"/>
      <c r="O155" s="205"/>
      <c r="P155" s="204"/>
      <c r="Q155" s="204"/>
      <c r="R155" s="204"/>
      <c r="S155" s="204"/>
      <c r="T155" s="204"/>
      <c r="U155" s="204"/>
      <c r="V155" s="204"/>
      <c r="W155" s="205"/>
      <c r="X155" s="204"/>
      <c r="Y155" s="204"/>
      <c r="Z155" s="205"/>
    </row>
    <row r="156" spans="1:27" x14ac:dyDescent="0.2">
      <c r="A156" s="189" t="s">
        <v>228</v>
      </c>
      <c r="B156" s="182" t="s">
        <v>151</v>
      </c>
      <c r="C156" s="189">
        <v>105</v>
      </c>
      <c r="D156" s="190">
        <v>6.14</v>
      </c>
      <c r="E156" s="190">
        <v>11.91</v>
      </c>
      <c r="F156" s="190">
        <v>10.92</v>
      </c>
      <c r="G156" s="190">
        <v>178.84</v>
      </c>
      <c r="H156" s="227"/>
      <c r="I156" s="203"/>
      <c r="J156" s="204"/>
      <c r="K156" s="203"/>
      <c r="L156" s="203"/>
      <c r="M156" s="203"/>
      <c r="N156" s="205"/>
      <c r="O156" s="205"/>
      <c r="P156" s="204"/>
      <c r="Q156" s="204"/>
      <c r="R156" s="204"/>
      <c r="S156" s="204"/>
      <c r="T156" s="204"/>
      <c r="U156" s="204"/>
      <c r="V156" s="204"/>
      <c r="W156" s="205"/>
      <c r="X156" s="204"/>
      <c r="Y156" s="204"/>
      <c r="Z156" s="205"/>
    </row>
    <row r="157" spans="1:27" x14ac:dyDescent="0.2">
      <c r="A157" s="189" t="s">
        <v>132</v>
      </c>
      <c r="B157" s="182" t="s">
        <v>133</v>
      </c>
      <c r="C157" s="189">
        <v>180</v>
      </c>
      <c r="D157" s="190">
        <f>5.77*1.2</f>
        <v>6.9239999999999995</v>
      </c>
      <c r="E157" s="190">
        <f>10.08*1.2</f>
        <v>12.096</v>
      </c>
      <c r="F157" s="190">
        <f>30.69*1.2</f>
        <v>36.828000000000003</v>
      </c>
      <c r="G157" s="190">
        <f>244*1.2</f>
        <v>292.8</v>
      </c>
      <c r="H157" s="227"/>
      <c r="I157" s="203"/>
      <c r="J157" s="204"/>
      <c r="K157" s="203"/>
      <c r="L157" s="203"/>
      <c r="M157" s="203"/>
      <c r="N157" s="205"/>
      <c r="O157" s="205"/>
      <c r="P157" s="204"/>
      <c r="Q157" s="204"/>
      <c r="R157" s="204"/>
      <c r="S157" s="204"/>
      <c r="T157" s="204"/>
      <c r="U157" s="204"/>
      <c r="V157" s="204"/>
      <c r="W157" s="205"/>
      <c r="X157" s="204"/>
      <c r="Y157" s="204"/>
      <c r="Z157" s="205"/>
    </row>
    <row r="158" spans="1:27" x14ac:dyDescent="0.2">
      <c r="A158" s="196" t="s">
        <v>42</v>
      </c>
      <c r="B158" s="182" t="s">
        <v>223</v>
      </c>
      <c r="C158" s="189">
        <v>200</v>
      </c>
      <c r="D158" s="190">
        <v>1.1499999999999999</v>
      </c>
      <c r="E158" s="190"/>
      <c r="F158" s="190">
        <v>12.03</v>
      </c>
      <c r="G158" s="190">
        <v>55.4</v>
      </c>
      <c r="H158" s="227"/>
      <c r="I158" s="203"/>
      <c r="J158" s="204"/>
      <c r="K158" s="203"/>
      <c r="L158" s="203"/>
      <c r="M158" s="203"/>
      <c r="N158" s="205"/>
      <c r="O158" s="205"/>
      <c r="P158" s="204"/>
      <c r="Q158" s="204"/>
      <c r="R158" s="204"/>
      <c r="S158" s="204"/>
      <c r="T158" s="204"/>
      <c r="U158" s="204"/>
      <c r="V158" s="204"/>
      <c r="W158" s="205"/>
      <c r="X158" s="204"/>
      <c r="Y158" s="204"/>
      <c r="Z158" s="205"/>
    </row>
    <row r="159" spans="1:27" x14ac:dyDescent="0.2">
      <c r="A159" s="206"/>
      <c r="B159" s="182" t="s">
        <v>11</v>
      </c>
      <c r="C159" s="189">
        <v>20</v>
      </c>
      <c r="D159" s="190">
        <v>1.52</v>
      </c>
      <c r="E159" s="190">
        <v>0.16</v>
      </c>
      <c r="F159" s="190">
        <v>9.84</v>
      </c>
      <c r="G159" s="190">
        <v>49.17</v>
      </c>
      <c r="H159" s="227"/>
      <c r="I159" s="203"/>
      <c r="J159" s="204"/>
      <c r="K159" s="203"/>
      <c r="L159" s="203"/>
      <c r="M159" s="203"/>
      <c r="N159" s="205"/>
      <c r="O159" s="205"/>
      <c r="P159" s="204"/>
      <c r="Q159" s="204"/>
      <c r="R159" s="204"/>
      <c r="S159" s="204"/>
      <c r="T159" s="204"/>
      <c r="U159" s="204"/>
      <c r="V159" s="204"/>
      <c r="W159" s="205"/>
      <c r="X159" s="204"/>
      <c r="Y159" s="204"/>
      <c r="Z159" s="205"/>
    </row>
    <row r="160" spans="1:27" x14ac:dyDescent="0.2">
      <c r="A160" s="283" t="s">
        <v>252</v>
      </c>
      <c r="B160" s="283"/>
      <c r="C160" s="187">
        <f>SUM(C154:C159)</f>
        <v>860</v>
      </c>
      <c r="D160" s="189"/>
      <c r="E160" s="189"/>
      <c r="F160" s="189"/>
      <c r="G160" s="189"/>
      <c r="H160" s="227"/>
      <c r="I160" s="203"/>
      <c r="J160" s="204"/>
      <c r="K160" s="203"/>
      <c r="L160" s="203"/>
      <c r="M160" s="203"/>
      <c r="N160" s="205"/>
      <c r="O160" s="205"/>
      <c r="P160" s="204"/>
      <c r="Q160" s="204"/>
      <c r="R160" s="204"/>
      <c r="S160" s="204"/>
      <c r="T160" s="204"/>
      <c r="U160" s="204"/>
      <c r="V160" s="204"/>
      <c r="W160" s="205"/>
      <c r="X160" s="204"/>
      <c r="Y160" s="204"/>
      <c r="Z160" s="205"/>
    </row>
    <row r="161" spans="1:7" x14ac:dyDescent="0.2">
      <c r="A161" s="280" t="s">
        <v>265</v>
      </c>
      <c r="B161" s="281"/>
      <c r="C161" s="282"/>
      <c r="D161" s="232">
        <f>D162+D170</f>
        <v>51.2027</v>
      </c>
      <c r="E161" s="232">
        <f t="shared" ref="E161:G161" si="18">E162+E170</f>
        <v>56.559999999999988</v>
      </c>
      <c r="F161" s="232">
        <f t="shared" si="18"/>
        <v>237.63509999999999</v>
      </c>
      <c r="G161" s="232">
        <f t="shared" si="18"/>
        <v>1719.885</v>
      </c>
    </row>
    <row r="162" spans="1:7" ht="12.75" customHeight="1" x14ac:dyDescent="0.2">
      <c r="A162" s="233"/>
      <c r="B162" s="258" t="s">
        <v>66</v>
      </c>
      <c r="C162" s="233"/>
      <c r="D162" s="232">
        <f>D163+D164+D165+D166+D167+D168</f>
        <v>18.97</v>
      </c>
      <c r="E162" s="232">
        <f t="shared" ref="E162:G162" si="19">E163+E164+E165+E166+E167+E168</f>
        <v>19.209999999999997</v>
      </c>
      <c r="F162" s="232">
        <f t="shared" si="19"/>
        <v>107.91</v>
      </c>
      <c r="G162" s="232">
        <f t="shared" si="19"/>
        <v>706.83500000000004</v>
      </c>
    </row>
    <row r="163" spans="1:7" x14ac:dyDescent="0.2">
      <c r="A163" s="235" t="s">
        <v>181</v>
      </c>
      <c r="B163" s="236" t="s">
        <v>35</v>
      </c>
      <c r="C163" s="235">
        <v>10</v>
      </c>
      <c r="D163" s="237">
        <v>2.6</v>
      </c>
      <c r="E163" s="237">
        <v>2.65</v>
      </c>
      <c r="F163" s="237">
        <v>0.35</v>
      </c>
      <c r="G163" s="237">
        <v>36.24</v>
      </c>
    </row>
    <row r="164" spans="1:7" x14ac:dyDescent="0.2">
      <c r="A164" s="235" t="s">
        <v>179</v>
      </c>
      <c r="B164" s="236" t="s">
        <v>136</v>
      </c>
      <c r="C164" s="235">
        <v>5</v>
      </c>
      <c r="D164" s="237">
        <v>0.05</v>
      </c>
      <c r="E164" s="237">
        <v>3.63</v>
      </c>
      <c r="F164" s="237">
        <v>7.0000000000000007E-2</v>
      </c>
      <c r="G164" s="237">
        <v>33.11</v>
      </c>
    </row>
    <row r="165" spans="1:7" ht="25.5" x14ac:dyDescent="0.2">
      <c r="A165" s="235" t="s">
        <v>180</v>
      </c>
      <c r="B165" s="236" t="s">
        <v>208</v>
      </c>
      <c r="C165" s="235">
        <v>255</v>
      </c>
      <c r="D165" s="237">
        <v>9.52</v>
      </c>
      <c r="E165" s="237">
        <v>7.81</v>
      </c>
      <c r="F165" s="237">
        <v>42.93</v>
      </c>
      <c r="G165" s="237">
        <v>290.56</v>
      </c>
    </row>
    <row r="166" spans="1:7" x14ac:dyDescent="0.2">
      <c r="A166" s="238"/>
      <c r="B166" s="236" t="s">
        <v>62</v>
      </c>
      <c r="C166" s="235">
        <v>40</v>
      </c>
      <c r="D166" s="237">
        <v>3</v>
      </c>
      <c r="E166" s="237">
        <v>4.72</v>
      </c>
      <c r="F166" s="237">
        <v>29.96</v>
      </c>
      <c r="G166" s="237">
        <v>182</v>
      </c>
    </row>
    <row r="167" spans="1:7" x14ac:dyDescent="0.2">
      <c r="A167" s="235" t="s">
        <v>182</v>
      </c>
      <c r="B167" s="236" t="s">
        <v>10</v>
      </c>
      <c r="C167" s="239">
        <v>200</v>
      </c>
      <c r="D167" s="237">
        <v>0</v>
      </c>
      <c r="E167" s="237">
        <v>0</v>
      </c>
      <c r="F167" s="237">
        <v>10</v>
      </c>
      <c r="G167" s="237">
        <v>42</v>
      </c>
    </row>
    <row r="168" spans="1:7" x14ac:dyDescent="0.2">
      <c r="A168" s="235"/>
      <c r="B168" s="236" t="s">
        <v>11</v>
      </c>
      <c r="C168" s="235">
        <v>50</v>
      </c>
      <c r="D168" s="237">
        <f>3.04*1.25</f>
        <v>3.8</v>
      </c>
      <c r="E168" s="237">
        <f>0.32*1.25</f>
        <v>0.4</v>
      </c>
      <c r="F168" s="237">
        <f>19.68*1.25</f>
        <v>24.6</v>
      </c>
      <c r="G168" s="237">
        <f>98.34*1.25</f>
        <v>122.92500000000001</v>
      </c>
    </row>
    <row r="169" spans="1:7" x14ac:dyDescent="0.2">
      <c r="A169" s="270" t="s">
        <v>252</v>
      </c>
      <c r="B169" s="271"/>
      <c r="C169" s="260">
        <f>C163+C164+C165+C166+C167+C168</f>
        <v>560</v>
      </c>
      <c r="D169" s="241"/>
      <c r="E169" s="241"/>
      <c r="F169" s="241"/>
      <c r="G169" s="241"/>
    </row>
    <row r="170" spans="1:7" x14ac:dyDescent="0.2">
      <c r="A170" s="238"/>
      <c r="B170" s="259" t="s">
        <v>67</v>
      </c>
      <c r="C170" s="240"/>
      <c r="D170" s="248">
        <f>D171+D172+D173+D174+D175+D176</f>
        <v>32.232700000000001</v>
      </c>
      <c r="E170" s="248">
        <f t="shared" ref="E170:G170" si="20">E171+E172+E173+E174+E175+E176</f>
        <v>37.349999999999994</v>
      </c>
      <c r="F170" s="248">
        <f t="shared" si="20"/>
        <v>129.7251</v>
      </c>
      <c r="G170" s="248">
        <f t="shared" si="20"/>
        <v>1013.05</v>
      </c>
    </row>
    <row r="171" spans="1:7" x14ac:dyDescent="0.2">
      <c r="A171" s="235" t="s">
        <v>82</v>
      </c>
      <c r="B171" s="236" t="s">
        <v>83</v>
      </c>
      <c r="C171" s="235">
        <v>100</v>
      </c>
      <c r="D171" s="237">
        <f>1.21*1.67</f>
        <v>2.0206999999999997</v>
      </c>
      <c r="E171" s="237">
        <f>6.2*1.67</f>
        <v>10.353999999999999</v>
      </c>
      <c r="F171" s="237">
        <f>12.33*1.67</f>
        <v>20.591100000000001</v>
      </c>
      <c r="G171" s="237">
        <f>113*1.67</f>
        <v>188.70999999999998</v>
      </c>
    </row>
    <row r="172" spans="1:7" ht="25.5" x14ac:dyDescent="0.2">
      <c r="A172" s="235" t="s">
        <v>290</v>
      </c>
      <c r="B172" s="242" t="s">
        <v>289</v>
      </c>
      <c r="C172" s="235">
        <v>255</v>
      </c>
      <c r="D172" s="237">
        <v>2.4500000000000002</v>
      </c>
      <c r="E172" s="237">
        <v>5.56</v>
      </c>
      <c r="F172" s="237">
        <v>17.149999999999999</v>
      </c>
      <c r="G172" s="237">
        <v>128.41</v>
      </c>
    </row>
    <row r="173" spans="1:7" x14ac:dyDescent="0.2">
      <c r="A173" s="235" t="s">
        <v>227</v>
      </c>
      <c r="B173" s="242" t="s">
        <v>154</v>
      </c>
      <c r="C173" s="235">
        <v>110</v>
      </c>
      <c r="D173" s="237">
        <v>5.73</v>
      </c>
      <c r="E173" s="237">
        <v>16.34</v>
      </c>
      <c r="F173" s="237">
        <v>10.38</v>
      </c>
      <c r="G173" s="237">
        <v>215</v>
      </c>
    </row>
    <row r="174" spans="1:7" x14ac:dyDescent="0.2">
      <c r="A174" s="238" t="s">
        <v>134</v>
      </c>
      <c r="B174" s="236" t="s">
        <v>155</v>
      </c>
      <c r="C174" s="235">
        <v>180</v>
      </c>
      <c r="D174" s="237">
        <f>16.26*1.2</f>
        <v>19.512</v>
      </c>
      <c r="E174" s="237">
        <f>4.03*1.2</f>
        <v>4.8360000000000003</v>
      </c>
      <c r="F174" s="237">
        <f>33.97*1.2</f>
        <v>40.763999999999996</v>
      </c>
      <c r="G174" s="237">
        <f>247.3*1.2</f>
        <v>296.76</v>
      </c>
    </row>
    <row r="175" spans="1:7" ht="25.5" x14ac:dyDescent="0.2">
      <c r="A175" s="235" t="s">
        <v>42</v>
      </c>
      <c r="B175" s="236" t="s">
        <v>224</v>
      </c>
      <c r="C175" s="235">
        <v>200</v>
      </c>
      <c r="D175" s="237">
        <v>1</v>
      </c>
      <c r="E175" s="237">
        <v>0.1</v>
      </c>
      <c r="F175" s="237">
        <v>31</v>
      </c>
      <c r="G175" s="237">
        <v>135</v>
      </c>
    </row>
    <row r="176" spans="1:7" x14ac:dyDescent="0.2">
      <c r="A176" s="239"/>
      <c r="B176" s="236" t="s">
        <v>11</v>
      </c>
      <c r="C176" s="235">
        <v>20</v>
      </c>
      <c r="D176" s="237">
        <v>1.52</v>
      </c>
      <c r="E176" s="237">
        <v>0.16</v>
      </c>
      <c r="F176" s="237">
        <v>9.84</v>
      </c>
      <c r="G176" s="237">
        <v>49.17</v>
      </c>
    </row>
    <row r="177" spans="1:7" x14ac:dyDescent="0.2">
      <c r="A177" s="270" t="s">
        <v>252</v>
      </c>
      <c r="B177" s="271"/>
      <c r="C177" s="240">
        <v>865</v>
      </c>
      <c r="D177" s="241"/>
      <c r="E177" s="241"/>
      <c r="F177" s="241"/>
      <c r="G177" s="241"/>
    </row>
    <row r="178" spans="1:7" ht="12.75" customHeight="1" x14ac:dyDescent="0.2">
      <c r="A178" s="280" t="s">
        <v>266</v>
      </c>
      <c r="B178" s="281"/>
      <c r="C178" s="282"/>
      <c r="D178" s="232">
        <f>D179+D185</f>
        <v>54.380499999999998</v>
      </c>
      <c r="E178" s="232">
        <f t="shared" ref="E178:G178" si="21">E179+E185</f>
        <v>74.845499999999987</v>
      </c>
      <c r="F178" s="232">
        <f t="shared" si="21"/>
        <v>213.3475</v>
      </c>
      <c r="G178" s="232">
        <f t="shared" si="21"/>
        <v>1791.3950000000002</v>
      </c>
    </row>
    <row r="179" spans="1:7" x14ac:dyDescent="0.2">
      <c r="A179" s="233"/>
      <c r="B179" s="258" t="s">
        <v>66</v>
      </c>
      <c r="C179" s="233"/>
      <c r="D179" s="232">
        <f>D180+D181+D182+D183</f>
        <v>20.052499999999998</v>
      </c>
      <c r="E179" s="232">
        <f t="shared" ref="E179:G179" si="22">E180+E181+E182+E183</f>
        <v>14.8675</v>
      </c>
      <c r="F179" s="232">
        <f t="shared" si="22"/>
        <v>129.97749999999999</v>
      </c>
      <c r="G179" s="232">
        <f t="shared" si="22"/>
        <v>765.86500000000001</v>
      </c>
    </row>
    <row r="180" spans="1:7" ht="25.5" x14ac:dyDescent="0.2">
      <c r="A180" s="235" t="s">
        <v>180</v>
      </c>
      <c r="B180" s="236" t="s">
        <v>206</v>
      </c>
      <c r="C180" s="235">
        <v>253</v>
      </c>
      <c r="D180" s="237">
        <f>7.81*1.25</f>
        <v>9.7624999999999993</v>
      </c>
      <c r="E180" s="237">
        <f>4.55*1.25</f>
        <v>5.6875</v>
      </c>
      <c r="F180" s="237">
        <f>33.47*1.25</f>
        <v>41.837499999999999</v>
      </c>
      <c r="G180" s="237">
        <v>267.91000000000003</v>
      </c>
    </row>
    <row r="181" spans="1:7" x14ac:dyDescent="0.2">
      <c r="A181" s="238"/>
      <c r="B181" s="236" t="s">
        <v>62</v>
      </c>
      <c r="C181" s="235">
        <v>60</v>
      </c>
      <c r="D181" s="237">
        <f>1.5*3</f>
        <v>4.5</v>
      </c>
      <c r="E181" s="237">
        <f>2.36*3</f>
        <v>7.08</v>
      </c>
      <c r="F181" s="237">
        <f>14.98*3</f>
        <v>44.94</v>
      </c>
      <c r="G181" s="237">
        <f>91*3</f>
        <v>273</v>
      </c>
    </row>
    <row r="182" spans="1:7" x14ac:dyDescent="0.2">
      <c r="A182" s="235" t="s">
        <v>183</v>
      </c>
      <c r="B182" s="236" t="s">
        <v>51</v>
      </c>
      <c r="C182" s="235">
        <v>200</v>
      </c>
      <c r="D182" s="237">
        <v>1.99</v>
      </c>
      <c r="E182" s="237">
        <v>1.7</v>
      </c>
      <c r="F182" s="237">
        <v>18.600000000000001</v>
      </c>
      <c r="G182" s="237">
        <v>102.03</v>
      </c>
    </row>
    <row r="183" spans="1:7" x14ac:dyDescent="0.2">
      <c r="A183" s="235"/>
      <c r="B183" s="236" t="s">
        <v>11</v>
      </c>
      <c r="C183" s="235">
        <v>50</v>
      </c>
      <c r="D183" s="237">
        <f>3.04*1.25</f>
        <v>3.8</v>
      </c>
      <c r="E183" s="237">
        <f>0.32*1.25</f>
        <v>0.4</v>
      </c>
      <c r="F183" s="237">
        <f>19.68*1.25</f>
        <v>24.6</v>
      </c>
      <c r="G183" s="237">
        <f>98.34*1.25</f>
        <v>122.92500000000001</v>
      </c>
    </row>
    <row r="184" spans="1:7" x14ac:dyDescent="0.2">
      <c r="A184" s="270" t="s">
        <v>252</v>
      </c>
      <c r="B184" s="271"/>
      <c r="C184" s="233">
        <f>SUM(C180:C183)</f>
        <v>563</v>
      </c>
      <c r="D184" s="237"/>
      <c r="E184" s="237"/>
      <c r="F184" s="237"/>
      <c r="G184" s="237"/>
    </row>
    <row r="185" spans="1:7" x14ac:dyDescent="0.2">
      <c r="A185" s="235"/>
      <c r="B185" s="259" t="s">
        <v>67</v>
      </c>
      <c r="C185" s="233"/>
      <c r="D185" s="232">
        <f>D186+D187+D188+D189+D190+D191</f>
        <v>34.328000000000003</v>
      </c>
      <c r="E185" s="232">
        <f t="shared" ref="E185:G185" si="23">E186+E187+E188+E189+E190+E191</f>
        <v>59.977999999999994</v>
      </c>
      <c r="F185" s="232">
        <f t="shared" si="23"/>
        <v>83.37</v>
      </c>
      <c r="G185" s="232">
        <f t="shared" si="23"/>
        <v>1025.5300000000002</v>
      </c>
    </row>
    <row r="186" spans="1:7" x14ac:dyDescent="0.2">
      <c r="A186" s="235" t="s">
        <v>292</v>
      </c>
      <c r="B186" s="236" t="s">
        <v>291</v>
      </c>
      <c r="C186" s="235">
        <v>100</v>
      </c>
      <c r="D186" s="251">
        <v>0.8</v>
      </c>
      <c r="E186" s="237">
        <v>0</v>
      </c>
      <c r="F186" s="237">
        <v>1.7</v>
      </c>
      <c r="G186" s="237">
        <v>10</v>
      </c>
    </row>
    <row r="187" spans="1:7" ht="25.5" x14ac:dyDescent="0.2">
      <c r="A187" s="235" t="s">
        <v>296</v>
      </c>
      <c r="B187" s="242" t="s">
        <v>297</v>
      </c>
      <c r="C187" s="235">
        <v>260</v>
      </c>
      <c r="D187" s="237">
        <v>16.25</v>
      </c>
      <c r="E187" s="237">
        <v>22.5</v>
      </c>
      <c r="F187" s="237">
        <v>15.34</v>
      </c>
      <c r="G187" s="237">
        <v>328.85</v>
      </c>
    </row>
    <row r="188" spans="1:7" x14ac:dyDescent="0.2">
      <c r="A188" s="238" t="s">
        <v>43</v>
      </c>
      <c r="B188" s="236" t="s">
        <v>298</v>
      </c>
      <c r="C188" s="235">
        <v>100</v>
      </c>
      <c r="D188" s="237">
        <v>8.99</v>
      </c>
      <c r="E188" s="237">
        <v>33.909999999999997</v>
      </c>
      <c r="F188" s="237">
        <v>3.29</v>
      </c>
      <c r="G188" s="237">
        <v>354.31</v>
      </c>
    </row>
    <row r="189" spans="1:7" x14ac:dyDescent="0.2">
      <c r="A189" s="235" t="s">
        <v>33</v>
      </c>
      <c r="B189" s="236" t="s">
        <v>12</v>
      </c>
      <c r="C189" s="235">
        <v>180</v>
      </c>
      <c r="D189" s="237">
        <f>5.64*1.2</f>
        <v>6.7679999999999998</v>
      </c>
      <c r="E189" s="237">
        <f>2.84*1.2</f>
        <v>3.4079999999999999</v>
      </c>
      <c r="F189" s="237">
        <f>36*1.2</f>
        <v>43.199999999999996</v>
      </c>
      <c r="G189" s="237">
        <f>201*1.2</f>
        <v>241.2</v>
      </c>
    </row>
    <row r="190" spans="1:7" x14ac:dyDescent="0.2">
      <c r="A190" s="235" t="s">
        <v>182</v>
      </c>
      <c r="B190" s="236" t="s">
        <v>10</v>
      </c>
      <c r="C190" s="239">
        <v>200</v>
      </c>
      <c r="D190" s="237">
        <v>0</v>
      </c>
      <c r="E190" s="237">
        <v>0</v>
      </c>
      <c r="F190" s="237">
        <v>10</v>
      </c>
      <c r="G190" s="237">
        <v>42</v>
      </c>
    </row>
    <row r="191" spans="1:7" x14ac:dyDescent="0.2">
      <c r="A191" s="239"/>
      <c r="B191" s="236" t="s">
        <v>11</v>
      </c>
      <c r="C191" s="235">
        <v>20</v>
      </c>
      <c r="D191" s="237">
        <v>1.52</v>
      </c>
      <c r="E191" s="237">
        <v>0.16</v>
      </c>
      <c r="F191" s="237">
        <v>9.84</v>
      </c>
      <c r="G191" s="237">
        <v>49.17</v>
      </c>
    </row>
    <row r="192" spans="1:7" x14ac:dyDescent="0.2">
      <c r="A192" s="270" t="s">
        <v>252</v>
      </c>
      <c r="B192" s="271"/>
      <c r="C192" s="233">
        <f>SUM(C186:C191)</f>
        <v>860</v>
      </c>
      <c r="D192" s="237"/>
      <c r="E192" s="237"/>
      <c r="F192" s="237"/>
      <c r="G192" s="237"/>
    </row>
    <row r="193" spans="1:7" x14ac:dyDescent="0.2">
      <c r="A193" s="280" t="s">
        <v>267</v>
      </c>
      <c r="B193" s="281"/>
      <c r="C193" s="282"/>
      <c r="D193" s="232">
        <f>D194+D200</f>
        <v>38.9529</v>
      </c>
      <c r="E193" s="232">
        <f t="shared" ref="E193:G193" si="24">E194+E200</f>
        <v>51.349600000000002</v>
      </c>
      <c r="F193" s="232">
        <f t="shared" si="24"/>
        <v>184.39359999999999</v>
      </c>
      <c r="G193" s="232">
        <f t="shared" si="24"/>
        <v>1391.75</v>
      </c>
    </row>
    <row r="194" spans="1:7" x14ac:dyDescent="0.2">
      <c r="A194" s="233"/>
      <c r="B194" s="258" t="s">
        <v>66</v>
      </c>
      <c r="C194" s="233"/>
      <c r="D194" s="232">
        <f>D195+D196+D197+D198</f>
        <v>12.770000000000001</v>
      </c>
      <c r="E194" s="232">
        <f t="shared" ref="E194:G194" si="25">E195+E196+E197+E198</f>
        <v>11.03</v>
      </c>
      <c r="F194" s="232">
        <f t="shared" si="25"/>
        <v>99.83</v>
      </c>
      <c r="G194" s="232">
        <f t="shared" si="25"/>
        <v>571.95000000000005</v>
      </c>
    </row>
    <row r="195" spans="1:7" x14ac:dyDescent="0.2">
      <c r="A195" s="235"/>
      <c r="B195" s="236" t="s">
        <v>41</v>
      </c>
      <c r="C195" s="235">
        <v>100</v>
      </c>
      <c r="D195" s="237">
        <v>0.4</v>
      </c>
      <c r="E195" s="237">
        <v>0</v>
      </c>
      <c r="F195" s="237">
        <v>9.8000000000000007</v>
      </c>
      <c r="G195" s="237">
        <v>42.84</v>
      </c>
    </row>
    <row r="196" spans="1:7" ht="25.5" x14ac:dyDescent="0.2">
      <c r="A196" s="235" t="s">
        <v>180</v>
      </c>
      <c r="B196" s="236" t="s">
        <v>203</v>
      </c>
      <c r="C196" s="235">
        <v>205</v>
      </c>
      <c r="D196" s="237">
        <v>6.81</v>
      </c>
      <c r="E196" s="237">
        <v>10.45</v>
      </c>
      <c r="F196" s="237">
        <v>29.51</v>
      </c>
      <c r="G196" s="237">
        <v>246.6</v>
      </c>
    </row>
    <row r="197" spans="1:7" ht="25.5" x14ac:dyDescent="0.2">
      <c r="A197" s="235" t="s">
        <v>42</v>
      </c>
      <c r="B197" s="236" t="s">
        <v>224</v>
      </c>
      <c r="C197" s="235">
        <v>200</v>
      </c>
      <c r="D197" s="237">
        <v>1</v>
      </c>
      <c r="E197" s="237">
        <v>0.1</v>
      </c>
      <c r="F197" s="237">
        <v>31</v>
      </c>
      <c r="G197" s="237">
        <v>135</v>
      </c>
    </row>
    <row r="198" spans="1:7" x14ac:dyDescent="0.2">
      <c r="A198" s="238"/>
      <c r="B198" s="236" t="s">
        <v>11</v>
      </c>
      <c r="C198" s="235">
        <v>60</v>
      </c>
      <c r="D198" s="237">
        <f>3.04*1.5</f>
        <v>4.5600000000000005</v>
      </c>
      <c r="E198" s="237">
        <f>0.32*1.5</f>
        <v>0.48</v>
      </c>
      <c r="F198" s="237">
        <f>19.68*1.5</f>
        <v>29.52</v>
      </c>
      <c r="G198" s="237">
        <f>98.34*1.5</f>
        <v>147.51</v>
      </c>
    </row>
    <row r="199" spans="1:7" x14ac:dyDescent="0.2">
      <c r="A199" s="270" t="s">
        <v>252</v>
      </c>
      <c r="B199" s="271"/>
      <c r="C199" s="233">
        <f>SUM(C195:C198)</f>
        <v>565</v>
      </c>
      <c r="D199" s="237"/>
      <c r="E199" s="237"/>
      <c r="F199" s="237"/>
      <c r="G199" s="237"/>
    </row>
    <row r="200" spans="1:7" x14ac:dyDescent="0.2">
      <c r="A200" s="235"/>
      <c r="B200" s="259" t="s">
        <v>67</v>
      </c>
      <c r="C200" s="233"/>
      <c r="D200" s="232">
        <f>D201+D202+D203+D204+D205</f>
        <v>26.1829</v>
      </c>
      <c r="E200" s="232">
        <f t="shared" ref="E200:G200" si="26">E201+E202+E203+E204+E205</f>
        <v>40.319600000000001</v>
      </c>
      <c r="F200" s="232">
        <f t="shared" si="26"/>
        <v>84.563599999999994</v>
      </c>
      <c r="G200" s="232">
        <f t="shared" si="26"/>
        <v>819.8</v>
      </c>
    </row>
    <row r="201" spans="1:7" x14ac:dyDescent="0.2">
      <c r="A201" s="235" t="s">
        <v>192</v>
      </c>
      <c r="B201" s="236" t="s">
        <v>137</v>
      </c>
      <c r="C201" s="235">
        <v>100</v>
      </c>
      <c r="D201" s="237">
        <f>0.94*1.66</f>
        <v>1.5603999999999998</v>
      </c>
      <c r="E201" s="237">
        <f>4.06*1.66</f>
        <v>6.7395999999999994</v>
      </c>
      <c r="F201" s="237">
        <f>5.96*1.66</f>
        <v>9.8935999999999993</v>
      </c>
      <c r="G201" s="237">
        <v>108.76</v>
      </c>
    </row>
    <row r="202" spans="1:7" ht="25.5" x14ac:dyDescent="0.2">
      <c r="A202" s="235" t="s">
        <v>185</v>
      </c>
      <c r="B202" s="236" t="s">
        <v>141</v>
      </c>
      <c r="C202" s="235">
        <v>255</v>
      </c>
      <c r="D202" s="237">
        <f>2.57*1.25</f>
        <v>3.2124999999999999</v>
      </c>
      <c r="E202" s="237">
        <f>9.24*1.25</f>
        <v>11.55</v>
      </c>
      <c r="F202" s="237">
        <f>18.04*1.25</f>
        <v>22.549999999999997</v>
      </c>
      <c r="G202" s="237">
        <f>169.72*1.25</f>
        <v>212.15</v>
      </c>
    </row>
    <row r="203" spans="1:7" ht="25.5" x14ac:dyDescent="0.2">
      <c r="A203" s="235" t="s">
        <v>294</v>
      </c>
      <c r="B203" s="242" t="s">
        <v>293</v>
      </c>
      <c r="C203" s="235">
        <v>200</v>
      </c>
      <c r="D203" s="237">
        <v>18.91</v>
      </c>
      <c r="E203" s="237">
        <v>21.83</v>
      </c>
      <c r="F203" s="237">
        <v>22.12</v>
      </c>
      <c r="G203" s="237">
        <v>360.59</v>
      </c>
    </row>
    <row r="204" spans="1:7" x14ac:dyDescent="0.2">
      <c r="A204" s="238" t="s">
        <v>182</v>
      </c>
      <c r="B204" s="236" t="s">
        <v>10</v>
      </c>
      <c r="C204" s="235">
        <v>200</v>
      </c>
      <c r="D204" s="237">
        <v>0</v>
      </c>
      <c r="E204" s="237">
        <v>0</v>
      </c>
      <c r="F204" s="237">
        <v>10</v>
      </c>
      <c r="G204" s="237">
        <v>42</v>
      </c>
    </row>
    <row r="205" spans="1:7" x14ac:dyDescent="0.2">
      <c r="A205" s="239"/>
      <c r="B205" s="236" t="s">
        <v>37</v>
      </c>
      <c r="C205" s="235">
        <v>50</v>
      </c>
      <c r="D205" s="237">
        <v>2.5</v>
      </c>
      <c r="E205" s="237">
        <v>0.2</v>
      </c>
      <c r="F205" s="237">
        <v>20</v>
      </c>
      <c r="G205" s="237">
        <v>96.3</v>
      </c>
    </row>
    <row r="206" spans="1:7" x14ac:dyDescent="0.2">
      <c r="A206" s="270" t="s">
        <v>252</v>
      </c>
      <c r="B206" s="271"/>
      <c r="C206" s="233">
        <f>SUM(C201:C205)</f>
        <v>805</v>
      </c>
      <c r="D206" s="237"/>
      <c r="E206" s="237"/>
      <c r="F206" s="237"/>
      <c r="G206" s="237"/>
    </row>
    <row r="207" spans="1:7" x14ac:dyDescent="0.2">
      <c r="A207" s="280" t="s">
        <v>278</v>
      </c>
      <c r="B207" s="281"/>
      <c r="C207" s="282"/>
      <c r="D207" s="232">
        <f>D208+D214</f>
        <v>41.080500000000001</v>
      </c>
      <c r="E207" s="232">
        <f t="shared" ref="E207:G207" si="27">E208+E214</f>
        <v>32.305</v>
      </c>
      <c r="F207" s="232">
        <f t="shared" si="27"/>
        <v>225.01776000000001</v>
      </c>
      <c r="G207" s="232">
        <f t="shared" si="27"/>
        <v>1396.845</v>
      </c>
    </row>
    <row r="208" spans="1:7" x14ac:dyDescent="0.2">
      <c r="A208" s="233"/>
      <c r="B208" s="258" t="s">
        <v>66</v>
      </c>
      <c r="C208" s="233"/>
      <c r="D208" s="232">
        <f>D209+D210+D211+D212</f>
        <v>17.805</v>
      </c>
      <c r="E208" s="232">
        <f t="shared" ref="E208:G208" si="28">E209+E210+E211+E212</f>
        <v>9.5024999999999995</v>
      </c>
      <c r="F208" s="232">
        <f t="shared" si="28"/>
        <v>135.35</v>
      </c>
      <c r="G208" s="232">
        <f t="shared" si="28"/>
        <v>728.79500000000007</v>
      </c>
    </row>
    <row r="209" spans="1:7" x14ac:dyDescent="0.2">
      <c r="A209" s="238" t="s">
        <v>199</v>
      </c>
      <c r="B209" s="236" t="s">
        <v>196</v>
      </c>
      <c r="C209" s="235">
        <v>60</v>
      </c>
      <c r="D209" s="237">
        <v>4.91</v>
      </c>
      <c r="E209" s="237">
        <v>3.79</v>
      </c>
      <c r="F209" s="237">
        <v>36.090000000000003</v>
      </c>
      <c r="G209" s="237">
        <v>206.31</v>
      </c>
    </row>
    <row r="210" spans="1:7" ht="25.5" x14ac:dyDescent="0.2">
      <c r="A210" s="235" t="s">
        <v>180</v>
      </c>
      <c r="B210" s="236" t="s">
        <v>207</v>
      </c>
      <c r="C210" s="235">
        <v>253</v>
      </c>
      <c r="D210" s="237">
        <f>7.26*1.25</f>
        <v>9.0749999999999993</v>
      </c>
      <c r="E210" s="237">
        <f>4.25*1.25</f>
        <v>5.3125</v>
      </c>
      <c r="F210" s="237">
        <f>36.28*1.25</f>
        <v>45.35</v>
      </c>
      <c r="G210" s="237">
        <v>276.39999999999998</v>
      </c>
    </row>
    <row r="211" spans="1:7" ht="25.5" x14ac:dyDescent="0.2">
      <c r="A211" s="238" t="s">
        <v>40</v>
      </c>
      <c r="B211" s="236" t="s">
        <v>225</v>
      </c>
      <c r="C211" s="235">
        <v>200</v>
      </c>
      <c r="D211" s="237">
        <v>0.02</v>
      </c>
      <c r="E211" s="237"/>
      <c r="F211" s="237">
        <v>29.31</v>
      </c>
      <c r="G211" s="237">
        <v>123.16</v>
      </c>
    </row>
    <row r="212" spans="1:7" x14ac:dyDescent="0.2">
      <c r="A212" s="235"/>
      <c r="B212" s="236" t="s">
        <v>11</v>
      </c>
      <c r="C212" s="235">
        <v>50</v>
      </c>
      <c r="D212" s="237">
        <f>3.04*1.25</f>
        <v>3.8</v>
      </c>
      <c r="E212" s="237">
        <f>0.32*1.25</f>
        <v>0.4</v>
      </c>
      <c r="F212" s="237">
        <f>19.68*1.25</f>
        <v>24.6</v>
      </c>
      <c r="G212" s="237">
        <f>98.34*1.25</f>
        <v>122.92500000000001</v>
      </c>
    </row>
    <row r="213" spans="1:7" x14ac:dyDescent="0.2">
      <c r="A213" s="270" t="s">
        <v>252</v>
      </c>
      <c r="B213" s="271"/>
      <c r="C213" s="233">
        <f>SUM(C209:C212)</f>
        <v>563</v>
      </c>
      <c r="D213" s="237"/>
      <c r="E213" s="237"/>
      <c r="F213" s="237"/>
      <c r="G213" s="237"/>
    </row>
    <row r="214" spans="1:7" x14ac:dyDescent="0.2">
      <c r="A214" s="235"/>
      <c r="B214" s="259" t="s">
        <v>67</v>
      </c>
      <c r="C214" s="233"/>
      <c r="D214" s="232">
        <f>D215+D216+D217+D218+D219+D220</f>
        <v>23.275499999999997</v>
      </c>
      <c r="E214" s="232">
        <f t="shared" ref="E214:G214" si="29">E215+E216+E217+E218+E219+E220</f>
        <v>22.802499999999998</v>
      </c>
      <c r="F214" s="232">
        <f t="shared" si="29"/>
        <v>89.667760000000001</v>
      </c>
      <c r="G214" s="232">
        <f t="shared" si="29"/>
        <v>668.05</v>
      </c>
    </row>
    <row r="215" spans="1:7" x14ac:dyDescent="0.2">
      <c r="A215" s="235" t="s">
        <v>142</v>
      </c>
      <c r="B215" s="236" t="s">
        <v>143</v>
      </c>
      <c r="C215" s="235">
        <v>100</v>
      </c>
      <c r="D215" s="237">
        <f>0.9*1.67</f>
        <v>1.5029999999999999</v>
      </c>
      <c r="E215" s="237">
        <v>0.06</v>
      </c>
      <c r="F215" s="237">
        <f>8.28*1.667</f>
        <v>13.802759999999999</v>
      </c>
      <c r="G215" s="237">
        <v>64.28</v>
      </c>
    </row>
    <row r="216" spans="1:7" x14ac:dyDescent="0.2">
      <c r="A216" s="235" t="s">
        <v>184</v>
      </c>
      <c r="B216" s="236" t="s">
        <v>138</v>
      </c>
      <c r="C216" s="235">
        <v>255</v>
      </c>
      <c r="D216" s="237">
        <f>3.09*1.25</f>
        <v>3.8624999999999998</v>
      </c>
      <c r="E216" s="237">
        <f>4.61*1.25</f>
        <v>5.7625000000000002</v>
      </c>
      <c r="F216" s="237">
        <f>12.54*1.25</f>
        <v>15.674999999999999</v>
      </c>
      <c r="G216" s="237">
        <f>107.36*1.25</f>
        <v>134.19999999999999</v>
      </c>
    </row>
    <row r="217" spans="1:7" x14ac:dyDescent="0.2">
      <c r="A217" s="235" t="s">
        <v>277</v>
      </c>
      <c r="B217" s="236" t="s">
        <v>276</v>
      </c>
      <c r="C217" s="235">
        <v>100</v>
      </c>
      <c r="D217" s="237">
        <v>11.31</v>
      </c>
      <c r="E217" s="237">
        <v>10.82</v>
      </c>
      <c r="F217" s="237">
        <v>11.3</v>
      </c>
      <c r="G217" s="237">
        <v>187.84</v>
      </c>
    </row>
    <row r="218" spans="1:7" x14ac:dyDescent="0.2">
      <c r="A218" s="235" t="s">
        <v>300</v>
      </c>
      <c r="B218" s="236" t="s">
        <v>299</v>
      </c>
      <c r="C218" s="235">
        <v>180</v>
      </c>
      <c r="D218" s="237">
        <v>5.08</v>
      </c>
      <c r="E218" s="237">
        <v>6</v>
      </c>
      <c r="F218" s="237">
        <v>29.05</v>
      </c>
      <c r="G218" s="237">
        <v>190.56</v>
      </c>
    </row>
    <row r="219" spans="1:7" x14ac:dyDescent="0.2">
      <c r="A219" s="238" t="s">
        <v>182</v>
      </c>
      <c r="B219" s="236" t="s">
        <v>10</v>
      </c>
      <c r="C219" s="235">
        <v>200</v>
      </c>
      <c r="D219" s="237">
        <v>0</v>
      </c>
      <c r="E219" s="237">
        <v>0</v>
      </c>
      <c r="F219" s="237">
        <v>10</v>
      </c>
      <c r="G219" s="237">
        <v>42</v>
      </c>
    </row>
    <row r="220" spans="1:7" x14ac:dyDescent="0.2">
      <c r="A220" s="235"/>
      <c r="B220" s="236" t="s">
        <v>11</v>
      </c>
      <c r="C220" s="235">
        <v>20</v>
      </c>
      <c r="D220" s="237">
        <v>1.52</v>
      </c>
      <c r="E220" s="237">
        <v>0.16</v>
      </c>
      <c r="F220" s="237">
        <v>9.84</v>
      </c>
      <c r="G220" s="237">
        <v>49.17</v>
      </c>
    </row>
    <row r="221" spans="1:7" x14ac:dyDescent="0.2">
      <c r="A221" s="270" t="s">
        <v>252</v>
      </c>
      <c r="B221" s="271"/>
      <c r="C221" s="233">
        <f>SUM(C215:C220)</f>
        <v>855</v>
      </c>
      <c r="D221" s="237"/>
      <c r="E221" s="237"/>
      <c r="F221" s="237"/>
      <c r="G221" s="237"/>
    </row>
    <row r="222" spans="1:7" x14ac:dyDescent="0.2">
      <c r="A222" s="280" t="s">
        <v>279</v>
      </c>
      <c r="B222" s="281"/>
      <c r="C222" s="282"/>
      <c r="D222" s="232">
        <f>D223+D229</f>
        <v>47.793499999999995</v>
      </c>
      <c r="E222" s="232">
        <f t="shared" ref="E222:G222" si="30">E223+E229</f>
        <v>47.723700000000001</v>
      </c>
      <c r="F222" s="232">
        <f t="shared" si="30"/>
        <v>206.6738</v>
      </c>
      <c r="G222" s="232">
        <f t="shared" si="30"/>
        <v>1499.6859999999999</v>
      </c>
    </row>
    <row r="223" spans="1:7" x14ac:dyDescent="0.2">
      <c r="A223" s="233"/>
      <c r="B223" s="258" t="s">
        <v>66</v>
      </c>
      <c r="C223" s="233"/>
      <c r="D223" s="232">
        <f>D224+D225+D226+D227</f>
        <v>16.399999999999999</v>
      </c>
      <c r="E223" s="232">
        <f t="shared" ref="E223:G223" si="31">E224+E225+E226+E227</f>
        <v>9.7000000000000011</v>
      </c>
      <c r="F223" s="232">
        <f t="shared" si="31"/>
        <v>98.97</v>
      </c>
      <c r="G223" s="232">
        <f t="shared" si="31"/>
        <v>571.91</v>
      </c>
    </row>
    <row r="224" spans="1:7" x14ac:dyDescent="0.2">
      <c r="A224" s="235"/>
      <c r="B224" s="236" t="s">
        <v>41</v>
      </c>
      <c r="C224" s="235">
        <v>100</v>
      </c>
      <c r="D224" s="237">
        <v>0.4</v>
      </c>
      <c r="E224" s="237">
        <v>0</v>
      </c>
      <c r="F224" s="237">
        <v>9.8000000000000007</v>
      </c>
      <c r="G224" s="237">
        <v>42.84</v>
      </c>
    </row>
    <row r="225" spans="1:7" x14ac:dyDescent="0.2">
      <c r="A225" s="235" t="s">
        <v>200</v>
      </c>
      <c r="B225" s="236" t="s">
        <v>197</v>
      </c>
      <c r="C225" s="235">
        <v>203</v>
      </c>
      <c r="D225" s="237">
        <v>11.44</v>
      </c>
      <c r="E225" s="237">
        <v>9.2200000000000006</v>
      </c>
      <c r="F225" s="237">
        <v>49.65</v>
      </c>
      <c r="G225" s="237">
        <v>339.56</v>
      </c>
    </row>
    <row r="226" spans="1:7" x14ac:dyDescent="0.2">
      <c r="A226" s="239" t="s">
        <v>182</v>
      </c>
      <c r="B226" s="236" t="s">
        <v>10</v>
      </c>
      <c r="C226" s="239">
        <v>200</v>
      </c>
      <c r="D226" s="237">
        <v>0</v>
      </c>
      <c r="E226" s="237">
        <v>0</v>
      </c>
      <c r="F226" s="237">
        <v>10</v>
      </c>
      <c r="G226" s="237">
        <v>42</v>
      </c>
    </row>
    <row r="227" spans="1:7" x14ac:dyDescent="0.2">
      <c r="A227" s="235"/>
      <c r="B227" s="236" t="s">
        <v>11</v>
      </c>
      <c r="C227" s="235">
        <v>60</v>
      </c>
      <c r="D227" s="237">
        <f>3.04*1.5</f>
        <v>4.5600000000000005</v>
      </c>
      <c r="E227" s="237">
        <f>0.32*1.5</f>
        <v>0.48</v>
      </c>
      <c r="F227" s="237">
        <f>19.68*1.5</f>
        <v>29.52</v>
      </c>
      <c r="G227" s="237">
        <f>98.34*1.5</f>
        <v>147.51</v>
      </c>
    </row>
    <row r="228" spans="1:7" x14ac:dyDescent="0.2">
      <c r="A228" s="270" t="s">
        <v>252</v>
      </c>
      <c r="B228" s="271"/>
      <c r="C228" s="233">
        <f>SUM(C224:C227)</f>
        <v>563</v>
      </c>
      <c r="D228" s="237"/>
      <c r="E228" s="237"/>
      <c r="F228" s="237"/>
      <c r="G228" s="237"/>
    </row>
    <row r="229" spans="1:7" x14ac:dyDescent="0.2">
      <c r="A229" s="235"/>
      <c r="B229" s="259" t="s">
        <v>67</v>
      </c>
      <c r="C229" s="233"/>
      <c r="D229" s="232">
        <f>D230+D231+D232+D233+D234</f>
        <v>31.393499999999996</v>
      </c>
      <c r="E229" s="232">
        <f t="shared" ref="E229:G229" si="32">E230+E231+E232+E233+E234</f>
        <v>38.023699999999998</v>
      </c>
      <c r="F229" s="232">
        <f t="shared" si="32"/>
        <v>107.7038</v>
      </c>
      <c r="G229" s="232">
        <f t="shared" si="32"/>
        <v>927.77599999999995</v>
      </c>
    </row>
    <row r="230" spans="1:7" x14ac:dyDescent="0.2">
      <c r="A230" s="235" t="s">
        <v>190</v>
      </c>
      <c r="B230" s="236" t="s">
        <v>152</v>
      </c>
      <c r="C230" s="235">
        <v>100</v>
      </c>
      <c r="D230" s="237">
        <f>0.8*1.67</f>
        <v>1.3360000000000001</v>
      </c>
      <c r="E230" s="237">
        <f>3.11*1.67</f>
        <v>5.1936999999999998</v>
      </c>
      <c r="F230" s="237">
        <f>5.64*1.67</f>
        <v>9.4187999999999992</v>
      </c>
      <c r="G230" s="237">
        <f>55.8*1.67</f>
        <v>93.185999999999993</v>
      </c>
    </row>
    <row r="231" spans="1:7" ht="25.5" x14ac:dyDescent="0.2">
      <c r="A231" s="235" t="s">
        <v>186</v>
      </c>
      <c r="B231" s="236" t="s">
        <v>149</v>
      </c>
      <c r="C231" s="235">
        <v>260</v>
      </c>
      <c r="D231" s="237">
        <f>6.51*1.25</f>
        <v>8.1374999999999993</v>
      </c>
      <c r="E231" s="237">
        <f>12.28*1.25</f>
        <v>15.35</v>
      </c>
      <c r="F231" s="237">
        <f>18.94*1.25</f>
        <v>23.675000000000001</v>
      </c>
      <c r="G231" s="237">
        <v>271.76</v>
      </c>
    </row>
    <row r="232" spans="1:7" x14ac:dyDescent="0.2">
      <c r="A232" s="238" t="s">
        <v>188</v>
      </c>
      <c r="B232" s="236" t="s">
        <v>139</v>
      </c>
      <c r="C232" s="235">
        <v>200</v>
      </c>
      <c r="D232" s="237">
        <v>17.73</v>
      </c>
      <c r="E232" s="237">
        <v>17.16</v>
      </c>
      <c r="F232" s="237">
        <v>42.9</v>
      </c>
      <c r="G232" s="237">
        <v>409.09</v>
      </c>
    </row>
    <row r="233" spans="1:7" x14ac:dyDescent="0.2">
      <c r="A233" s="238" t="s">
        <v>42</v>
      </c>
      <c r="B233" s="236" t="s">
        <v>223</v>
      </c>
      <c r="C233" s="235">
        <v>200</v>
      </c>
      <c r="D233" s="237">
        <f>1.15</f>
        <v>1.1499999999999999</v>
      </c>
      <c r="E233" s="237"/>
      <c r="F233" s="237">
        <v>12.03</v>
      </c>
      <c r="G233" s="237">
        <v>55.4</v>
      </c>
    </row>
    <row r="234" spans="1:7" x14ac:dyDescent="0.2">
      <c r="A234" s="235"/>
      <c r="B234" s="236" t="s">
        <v>11</v>
      </c>
      <c r="C234" s="235">
        <v>40</v>
      </c>
      <c r="D234" s="237">
        <v>3.04</v>
      </c>
      <c r="E234" s="237">
        <v>0.32</v>
      </c>
      <c r="F234" s="237">
        <v>19.68</v>
      </c>
      <c r="G234" s="237">
        <v>98.34</v>
      </c>
    </row>
    <row r="235" spans="1:7" x14ac:dyDescent="0.2">
      <c r="A235" s="270" t="s">
        <v>252</v>
      </c>
      <c r="B235" s="271"/>
      <c r="C235" s="233">
        <f>SUM(C230:C234)</f>
        <v>800</v>
      </c>
      <c r="D235" s="237"/>
      <c r="E235" s="237"/>
      <c r="F235" s="237"/>
      <c r="G235" s="237"/>
    </row>
    <row r="236" spans="1:7" x14ac:dyDescent="0.2">
      <c r="A236" s="280" t="s">
        <v>280</v>
      </c>
      <c r="B236" s="281"/>
      <c r="C236" s="282"/>
      <c r="D236" s="232">
        <f>D237+D243</f>
        <v>38.066900000000004</v>
      </c>
      <c r="E236" s="232">
        <f t="shared" ref="E236:G236" si="33">E237+E243</f>
        <v>43.527599999999993</v>
      </c>
      <c r="F236" s="232">
        <f t="shared" si="33"/>
        <v>231.35160000000002</v>
      </c>
      <c r="G236" s="232">
        <f t="shared" si="33"/>
        <v>1523.26</v>
      </c>
    </row>
    <row r="237" spans="1:7" x14ac:dyDescent="0.2">
      <c r="A237" s="233"/>
      <c r="B237" s="258" t="s">
        <v>66</v>
      </c>
      <c r="C237" s="233"/>
      <c r="D237" s="232">
        <f>D238+D239+D240+D241</f>
        <v>14.110000000000001</v>
      </c>
      <c r="E237" s="232">
        <f t="shared" ref="E237:G237" si="34">E238+E239+E240+E241</f>
        <v>6.84</v>
      </c>
      <c r="F237" s="232">
        <f t="shared" si="34"/>
        <v>98.440000000000012</v>
      </c>
      <c r="G237" s="232">
        <f t="shared" si="34"/>
        <v>535.34</v>
      </c>
    </row>
    <row r="238" spans="1:7" x14ac:dyDescent="0.2">
      <c r="A238" s="235"/>
      <c r="B238" s="236" t="s">
        <v>41</v>
      </c>
      <c r="C238" s="235">
        <v>100</v>
      </c>
      <c r="D238" s="237">
        <v>0.4</v>
      </c>
      <c r="E238" s="237">
        <v>0</v>
      </c>
      <c r="F238" s="237">
        <v>9.8000000000000007</v>
      </c>
      <c r="G238" s="237">
        <v>42.84</v>
      </c>
    </row>
    <row r="239" spans="1:7" ht="25.5" x14ac:dyDescent="0.2">
      <c r="A239" s="235" t="s">
        <v>180</v>
      </c>
      <c r="B239" s="236" t="s">
        <v>209</v>
      </c>
      <c r="C239" s="235">
        <v>203</v>
      </c>
      <c r="D239" s="237">
        <v>7.16</v>
      </c>
      <c r="E239" s="237">
        <v>4.66</v>
      </c>
      <c r="F239" s="237">
        <v>40.520000000000003</v>
      </c>
      <c r="G239" s="237">
        <v>242.96</v>
      </c>
    </row>
    <row r="240" spans="1:7" x14ac:dyDescent="0.2">
      <c r="A240" s="235" t="s">
        <v>183</v>
      </c>
      <c r="B240" s="236" t="s">
        <v>51</v>
      </c>
      <c r="C240" s="235">
        <v>200</v>
      </c>
      <c r="D240" s="237">
        <v>1.99</v>
      </c>
      <c r="E240" s="237">
        <v>1.7</v>
      </c>
      <c r="F240" s="237">
        <v>18.600000000000001</v>
      </c>
      <c r="G240" s="237">
        <v>102.03</v>
      </c>
    </row>
    <row r="241" spans="1:7" x14ac:dyDescent="0.2">
      <c r="A241" s="239"/>
      <c r="B241" s="236" t="s">
        <v>11</v>
      </c>
      <c r="C241" s="235">
        <v>60</v>
      </c>
      <c r="D241" s="237">
        <f>3.04*1.5</f>
        <v>4.5600000000000005</v>
      </c>
      <c r="E241" s="237">
        <f>0.32*1.5</f>
        <v>0.48</v>
      </c>
      <c r="F241" s="237">
        <f>19.68*1.5</f>
        <v>29.52</v>
      </c>
      <c r="G241" s="237">
        <f>98.34*1.5</f>
        <v>147.51</v>
      </c>
    </row>
    <row r="242" spans="1:7" x14ac:dyDescent="0.2">
      <c r="A242" s="270" t="s">
        <v>252</v>
      </c>
      <c r="B242" s="271"/>
      <c r="C242" s="240">
        <f>SUM(C238:C241)</f>
        <v>563</v>
      </c>
      <c r="D242" s="241"/>
      <c r="E242" s="241"/>
      <c r="F242" s="241"/>
      <c r="G242" s="241"/>
    </row>
    <row r="243" spans="1:7" x14ac:dyDescent="0.2">
      <c r="A243" s="238"/>
      <c r="B243" s="259" t="s">
        <v>67</v>
      </c>
      <c r="C243" s="240"/>
      <c r="D243" s="248">
        <f>D244+D245+D246+D247+D248+D249</f>
        <v>23.956900000000001</v>
      </c>
      <c r="E243" s="248">
        <f t="shared" ref="E243:G243" si="35">E244+E245+E246+E247+E248+E249</f>
        <v>36.687599999999996</v>
      </c>
      <c r="F243" s="248">
        <f t="shared" si="35"/>
        <v>132.91159999999999</v>
      </c>
      <c r="G243" s="248">
        <f t="shared" si="35"/>
        <v>987.92</v>
      </c>
    </row>
    <row r="244" spans="1:7" x14ac:dyDescent="0.2">
      <c r="A244" s="235" t="s">
        <v>192</v>
      </c>
      <c r="B244" s="236" t="s">
        <v>137</v>
      </c>
      <c r="C244" s="235">
        <v>100</v>
      </c>
      <c r="D244" s="237">
        <f>0.94*1.66</f>
        <v>1.5603999999999998</v>
      </c>
      <c r="E244" s="237">
        <f>4.06*1.66</f>
        <v>6.7395999999999994</v>
      </c>
      <c r="F244" s="237">
        <f>5.96*1.66</f>
        <v>9.8935999999999993</v>
      </c>
      <c r="G244" s="237">
        <v>108.76</v>
      </c>
    </row>
    <row r="245" spans="1:7" ht="25.5" x14ac:dyDescent="0.2">
      <c r="A245" s="235" t="s">
        <v>185</v>
      </c>
      <c r="B245" s="236" t="s">
        <v>141</v>
      </c>
      <c r="C245" s="235">
        <v>255</v>
      </c>
      <c r="D245" s="237">
        <f>2.57*1.25</f>
        <v>3.2124999999999999</v>
      </c>
      <c r="E245" s="237">
        <f>9.24*1.25</f>
        <v>11.55</v>
      </c>
      <c r="F245" s="237">
        <f>18.04*1.25</f>
        <v>22.549999999999997</v>
      </c>
      <c r="G245" s="237">
        <f>169.72*1.25</f>
        <v>212.15</v>
      </c>
    </row>
    <row r="246" spans="1:7" x14ac:dyDescent="0.2">
      <c r="A246" s="235" t="s">
        <v>228</v>
      </c>
      <c r="B246" s="236" t="s">
        <v>151</v>
      </c>
      <c r="C246" s="235">
        <v>105</v>
      </c>
      <c r="D246" s="237">
        <v>6.14</v>
      </c>
      <c r="E246" s="237">
        <v>11.91</v>
      </c>
      <c r="F246" s="237">
        <v>10.92</v>
      </c>
      <c r="G246" s="237">
        <v>178.84</v>
      </c>
    </row>
    <row r="247" spans="1:7" x14ac:dyDescent="0.2">
      <c r="A247" s="238" t="s">
        <v>38</v>
      </c>
      <c r="B247" s="236" t="s">
        <v>36</v>
      </c>
      <c r="C247" s="235">
        <v>180</v>
      </c>
      <c r="D247" s="237">
        <f>8.77*1.2</f>
        <v>10.523999999999999</v>
      </c>
      <c r="E247" s="237">
        <f>5.19*1.2</f>
        <v>6.2280000000000006</v>
      </c>
      <c r="F247" s="237">
        <f>39.6*1.23</f>
        <v>48.707999999999998</v>
      </c>
      <c r="G247" s="237">
        <v>304</v>
      </c>
    </row>
    <row r="248" spans="1:7" ht="25.5" x14ac:dyDescent="0.2">
      <c r="A248" s="235" t="s">
        <v>42</v>
      </c>
      <c r="B248" s="236" t="s">
        <v>224</v>
      </c>
      <c r="C248" s="235">
        <v>200</v>
      </c>
      <c r="D248" s="237">
        <v>1</v>
      </c>
      <c r="E248" s="237">
        <v>0.1</v>
      </c>
      <c r="F248" s="237">
        <v>31</v>
      </c>
      <c r="G248" s="237">
        <v>135</v>
      </c>
    </row>
    <row r="249" spans="1:7" x14ac:dyDescent="0.2">
      <c r="A249" s="235"/>
      <c r="B249" s="236" t="s">
        <v>11</v>
      </c>
      <c r="C249" s="235">
        <v>20</v>
      </c>
      <c r="D249" s="237">
        <v>1.52</v>
      </c>
      <c r="E249" s="237">
        <v>0.16</v>
      </c>
      <c r="F249" s="237">
        <v>9.84</v>
      </c>
      <c r="G249" s="237">
        <v>49.17</v>
      </c>
    </row>
    <row r="250" spans="1:7" x14ac:dyDescent="0.2">
      <c r="A250" s="270" t="s">
        <v>252</v>
      </c>
      <c r="B250" s="271"/>
      <c r="C250" s="233">
        <f>SUM(C244:C249)</f>
        <v>860</v>
      </c>
      <c r="D250" s="237"/>
      <c r="E250" s="237"/>
      <c r="F250" s="237"/>
      <c r="G250" s="237"/>
    </row>
    <row r="251" spans="1:7" x14ac:dyDescent="0.2">
      <c r="A251" s="269" t="s">
        <v>281</v>
      </c>
      <c r="B251" s="269"/>
      <c r="C251" s="269"/>
      <c r="D251" s="232">
        <f>D252+D258</f>
        <v>42.474440000000001</v>
      </c>
      <c r="E251" s="232">
        <f t="shared" ref="E251:G251" si="36">E252+E258</f>
        <v>50.700459999999993</v>
      </c>
      <c r="F251" s="232">
        <f t="shared" si="36"/>
        <v>226.13628</v>
      </c>
      <c r="G251" s="232">
        <f t="shared" si="36"/>
        <v>1585.0335</v>
      </c>
    </row>
    <row r="252" spans="1:7" x14ac:dyDescent="0.2">
      <c r="A252" s="233"/>
      <c r="B252" s="258" t="s">
        <v>66</v>
      </c>
      <c r="C252" s="233"/>
      <c r="D252" s="232">
        <f>D253+D254+D255+D256</f>
        <v>15.922499999999999</v>
      </c>
      <c r="E252" s="232">
        <f t="shared" ref="E252:G252" si="37">E253+E254+E255+E256</f>
        <v>24.447499999999998</v>
      </c>
      <c r="F252" s="232">
        <f t="shared" si="37"/>
        <v>133.2475</v>
      </c>
      <c r="G252" s="232">
        <f t="shared" si="37"/>
        <v>846.56500000000005</v>
      </c>
    </row>
    <row r="253" spans="1:7" ht="25.5" x14ac:dyDescent="0.2">
      <c r="A253" s="235" t="s">
        <v>180</v>
      </c>
      <c r="B253" s="236" t="s">
        <v>206</v>
      </c>
      <c r="C253" s="235">
        <v>253</v>
      </c>
      <c r="D253" s="237">
        <f>7.81*1.25</f>
        <v>9.7624999999999993</v>
      </c>
      <c r="E253" s="237">
        <f>4.55*1.25</f>
        <v>5.6875</v>
      </c>
      <c r="F253" s="237">
        <f>33.47*1.25</f>
        <v>41.837499999999999</v>
      </c>
      <c r="G253" s="237">
        <v>267.91000000000003</v>
      </c>
    </row>
    <row r="254" spans="1:7" x14ac:dyDescent="0.2">
      <c r="A254" s="235"/>
      <c r="B254" s="236" t="s">
        <v>201</v>
      </c>
      <c r="C254" s="244">
        <v>60</v>
      </c>
      <c r="D254" s="237">
        <v>2.34</v>
      </c>
      <c r="E254" s="237">
        <v>18.36</v>
      </c>
      <c r="F254" s="237">
        <v>37.5</v>
      </c>
      <c r="G254" s="237">
        <v>332.57</v>
      </c>
    </row>
    <row r="255" spans="1:7" ht="25.5" x14ac:dyDescent="0.2">
      <c r="A255" s="238" t="s">
        <v>40</v>
      </c>
      <c r="B255" s="236" t="s">
        <v>225</v>
      </c>
      <c r="C255" s="235">
        <v>200</v>
      </c>
      <c r="D255" s="237">
        <v>0.02</v>
      </c>
      <c r="E255" s="237"/>
      <c r="F255" s="237">
        <v>29.31</v>
      </c>
      <c r="G255" s="237">
        <v>123.16</v>
      </c>
    </row>
    <row r="256" spans="1:7" x14ac:dyDescent="0.2">
      <c r="A256" s="235"/>
      <c r="B256" s="236" t="s">
        <v>11</v>
      </c>
      <c r="C256" s="235">
        <v>50</v>
      </c>
      <c r="D256" s="237">
        <f>3.04*1.25</f>
        <v>3.8</v>
      </c>
      <c r="E256" s="237">
        <f>0.32*1.25</f>
        <v>0.4</v>
      </c>
      <c r="F256" s="237">
        <f>19.68*1.25</f>
        <v>24.6</v>
      </c>
      <c r="G256" s="237">
        <f>98.34*1.25</f>
        <v>122.92500000000001</v>
      </c>
    </row>
    <row r="257" spans="1:7" x14ac:dyDescent="0.2">
      <c r="A257" s="270" t="s">
        <v>252</v>
      </c>
      <c r="B257" s="271"/>
      <c r="C257" s="240">
        <f>SUM(C253:C256)</f>
        <v>563</v>
      </c>
      <c r="D257" s="241"/>
      <c r="E257" s="241"/>
      <c r="F257" s="241"/>
      <c r="G257" s="241"/>
    </row>
    <row r="258" spans="1:7" x14ac:dyDescent="0.2">
      <c r="A258" s="235"/>
      <c r="B258" s="259" t="s">
        <v>67</v>
      </c>
      <c r="C258" s="240"/>
      <c r="D258" s="248">
        <f>D259+D260+D261+D262+D263</f>
        <v>26.551939999999998</v>
      </c>
      <c r="E258" s="248">
        <f t="shared" ref="E258:G258" si="38">E259+E260+E261+E262+E263</f>
        <v>26.252959999999998</v>
      </c>
      <c r="F258" s="248">
        <f t="shared" si="38"/>
        <v>92.888779999999997</v>
      </c>
      <c r="G258" s="248">
        <f t="shared" si="38"/>
        <v>738.46849999999995</v>
      </c>
    </row>
    <row r="259" spans="1:7" x14ac:dyDescent="0.2">
      <c r="A259" s="235" t="s">
        <v>68</v>
      </c>
      <c r="B259" s="236" t="s">
        <v>69</v>
      </c>
      <c r="C259" s="235">
        <v>100</v>
      </c>
      <c r="D259" s="237">
        <f>0.84*1.666</f>
        <v>1.3994399999999998</v>
      </c>
      <c r="E259" s="237">
        <f>3.06*1.666</f>
        <v>5.0979599999999996</v>
      </c>
      <c r="F259" s="237">
        <f>6.83*1.666</f>
        <v>11.378779999999999</v>
      </c>
      <c r="G259" s="237">
        <f>59.75*1.666</f>
        <v>99.543499999999995</v>
      </c>
    </row>
    <row r="260" spans="1:7" ht="25.5" x14ac:dyDescent="0.2">
      <c r="A260" s="238" t="s">
        <v>101</v>
      </c>
      <c r="B260" s="236" t="s">
        <v>172</v>
      </c>
      <c r="C260" s="235">
        <v>255</v>
      </c>
      <c r="D260" s="237">
        <f>5.81*1.25</f>
        <v>7.2624999999999993</v>
      </c>
      <c r="E260" s="237">
        <f>11.82*1.25</f>
        <v>14.775</v>
      </c>
      <c r="F260" s="237">
        <f>15.48*1.25</f>
        <v>19.350000000000001</v>
      </c>
      <c r="G260" s="237">
        <f>196*1.25</f>
        <v>245</v>
      </c>
    </row>
    <row r="261" spans="1:7" x14ac:dyDescent="0.2">
      <c r="A261" s="235" t="s">
        <v>229</v>
      </c>
      <c r="B261" s="236" t="s">
        <v>144</v>
      </c>
      <c r="C261" s="235">
        <v>200</v>
      </c>
      <c r="D261" s="237">
        <v>14.09</v>
      </c>
      <c r="E261" s="237">
        <v>5.98</v>
      </c>
      <c r="F261" s="237">
        <v>27.56</v>
      </c>
      <c r="G261" s="237">
        <v>229</v>
      </c>
    </row>
    <row r="262" spans="1:7" x14ac:dyDescent="0.2">
      <c r="A262" s="239" t="s">
        <v>182</v>
      </c>
      <c r="B262" s="236" t="s">
        <v>10</v>
      </c>
      <c r="C262" s="239">
        <v>200</v>
      </c>
      <c r="D262" s="237">
        <v>0</v>
      </c>
      <c r="E262" s="237">
        <v>0</v>
      </c>
      <c r="F262" s="237">
        <v>10</v>
      </c>
      <c r="G262" s="237">
        <v>42</v>
      </c>
    </row>
    <row r="263" spans="1:7" x14ac:dyDescent="0.2">
      <c r="A263" s="239"/>
      <c r="B263" s="236" t="s">
        <v>11</v>
      </c>
      <c r="C263" s="235">
        <v>50</v>
      </c>
      <c r="D263" s="237">
        <f>3.04*1.25</f>
        <v>3.8</v>
      </c>
      <c r="E263" s="237">
        <f>0.32*1.25</f>
        <v>0.4</v>
      </c>
      <c r="F263" s="237">
        <f>19.68*1.25</f>
        <v>24.6</v>
      </c>
      <c r="G263" s="237">
        <f>98.34*1.25</f>
        <v>122.92500000000001</v>
      </c>
    </row>
    <row r="264" spans="1:7" x14ac:dyDescent="0.2">
      <c r="A264" s="270" t="s">
        <v>252</v>
      </c>
      <c r="B264" s="271"/>
      <c r="C264" s="245">
        <f>SUM(C259:C263)</f>
        <v>805</v>
      </c>
      <c r="D264" s="237"/>
      <c r="E264" s="237"/>
      <c r="F264" s="237"/>
      <c r="G264" s="237"/>
    </row>
    <row r="265" spans="1:7" x14ac:dyDescent="0.2">
      <c r="A265" s="280" t="s">
        <v>282</v>
      </c>
      <c r="B265" s="281"/>
      <c r="C265" s="282"/>
      <c r="D265" s="232">
        <f>D266+D272</f>
        <v>39.608400000000003</v>
      </c>
      <c r="E265" s="232">
        <f t="shared" ref="E265:G265" si="39">E266+E272</f>
        <v>32.7102</v>
      </c>
      <c r="F265" s="232">
        <f t="shared" si="39"/>
        <v>216.90640000000002</v>
      </c>
      <c r="G265" s="232">
        <f t="shared" si="39"/>
        <v>1372.5156999999999</v>
      </c>
    </row>
    <row r="266" spans="1:7" x14ac:dyDescent="0.2">
      <c r="A266" s="233"/>
      <c r="B266" s="258" t="s">
        <v>66</v>
      </c>
      <c r="C266" s="233"/>
      <c r="D266" s="232">
        <f>D267+D268+D269+D270</f>
        <v>13.16</v>
      </c>
      <c r="E266" s="232">
        <f t="shared" ref="E266:G266" si="40">E267+E268+E269+E270</f>
        <v>10.68</v>
      </c>
      <c r="F266" s="232">
        <f t="shared" si="40"/>
        <v>99.34</v>
      </c>
      <c r="G266" s="232">
        <f t="shared" si="40"/>
        <v>568.66999999999996</v>
      </c>
    </row>
    <row r="267" spans="1:7" x14ac:dyDescent="0.2">
      <c r="A267" s="235"/>
      <c r="B267" s="236" t="s">
        <v>41</v>
      </c>
      <c r="C267" s="235">
        <v>100</v>
      </c>
      <c r="D267" s="237">
        <v>0.4</v>
      </c>
      <c r="E267" s="237">
        <v>0</v>
      </c>
      <c r="F267" s="237">
        <v>9.8000000000000007</v>
      </c>
      <c r="G267" s="237">
        <v>42.84</v>
      </c>
    </row>
    <row r="268" spans="1:7" ht="25.5" x14ac:dyDescent="0.2">
      <c r="A268" s="235" t="s">
        <v>180</v>
      </c>
      <c r="B268" s="236" t="s">
        <v>205</v>
      </c>
      <c r="C268" s="235">
        <v>203</v>
      </c>
      <c r="D268" s="237">
        <v>8.1999999999999993</v>
      </c>
      <c r="E268" s="237">
        <v>10.199999999999999</v>
      </c>
      <c r="F268" s="237">
        <v>50.02</v>
      </c>
      <c r="G268" s="237">
        <v>336.32</v>
      </c>
    </row>
    <row r="269" spans="1:7" x14ac:dyDescent="0.2">
      <c r="A269" s="235" t="s">
        <v>182</v>
      </c>
      <c r="B269" s="236" t="s">
        <v>10</v>
      </c>
      <c r="C269" s="235">
        <v>200</v>
      </c>
      <c r="D269" s="237">
        <v>0</v>
      </c>
      <c r="E269" s="237">
        <v>0</v>
      </c>
      <c r="F269" s="237">
        <v>10</v>
      </c>
      <c r="G269" s="237">
        <v>42</v>
      </c>
    </row>
    <row r="270" spans="1:7" x14ac:dyDescent="0.2">
      <c r="A270" s="239"/>
      <c r="B270" s="236" t="s">
        <v>11</v>
      </c>
      <c r="C270" s="235">
        <v>60</v>
      </c>
      <c r="D270" s="237">
        <f>3.04*1.5</f>
        <v>4.5600000000000005</v>
      </c>
      <c r="E270" s="237">
        <f>0.32*1.5</f>
        <v>0.48</v>
      </c>
      <c r="F270" s="237">
        <f>19.68*1.5</f>
        <v>29.52</v>
      </c>
      <c r="G270" s="237">
        <f>98.34*1.5</f>
        <v>147.51</v>
      </c>
    </row>
    <row r="271" spans="1:7" x14ac:dyDescent="0.2">
      <c r="A271" s="270" t="s">
        <v>252</v>
      </c>
      <c r="B271" s="271"/>
      <c r="C271" s="261">
        <f>SUM(C267:C270)</f>
        <v>563</v>
      </c>
      <c r="D271" s="237"/>
      <c r="E271" s="237"/>
      <c r="F271" s="237"/>
      <c r="G271" s="237"/>
    </row>
    <row r="272" spans="1:7" x14ac:dyDescent="0.2">
      <c r="A272" s="239"/>
      <c r="B272" s="259" t="s">
        <v>67</v>
      </c>
      <c r="C272" s="257"/>
      <c r="D272" s="232">
        <f>D273+D274+D275+D276+D277</f>
        <v>26.448399999999999</v>
      </c>
      <c r="E272" s="232">
        <f t="shared" ref="E272:G272" si="41">E273+E274+E275+E276+E277</f>
        <v>22.030200000000001</v>
      </c>
      <c r="F272" s="232">
        <f t="shared" si="41"/>
        <v>117.56640000000002</v>
      </c>
      <c r="G272" s="232">
        <f t="shared" si="41"/>
        <v>803.84569999999997</v>
      </c>
    </row>
    <row r="273" spans="1:7" x14ac:dyDescent="0.2">
      <c r="A273" s="239" t="s">
        <v>193</v>
      </c>
      <c r="B273" s="236" t="s">
        <v>148</v>
      </c>
      <c r="C273" s="235">
        <v>100</v>
      </c>
      <c r="D273" s="237">
        <f>0.74*1.66</f>
        <v>1.2283999999999999</v>
      </c>
      <c r="E273" s="237">
        <f>0.06*1.67</f>
        <v>0.1002</v>
      </c>
      <c r="F273" s="237">
        <f>16.92*1.67</f>
        <v>28.256400000000003</v>
      </c>
      <c r="G273" s="237">
        <f>74.71*1.67</f>
        <v>124.76569999999998</v>
      </c>
    </row>
    <row r="274" spans="1:7" ht="25.5" x14ac:dyDescent="0.2">
      <c r="A274" s="235" t="s">
        <v>117</v>
      </c>
      <c r="B274" s="236" t="s">
        <v>145</v>
      </c>
      <c r="C274" s="235">
        <v>260</v>
      </c>
      <c r="D274" s="237">
        <f>2.64*1.25</f>
        <v>3.3000000000000003</v>
      </c>
      <c r="E274" s="237">
        <f>3.56*1.25</f>
        <v>4.45</v>
      </c>
      <c r="F274" s="237">
        <f>11.76*1.25</f>
        <v>14.7</v>
      </c>
      <c r="G274" s="237">
        <f>93*1.25</f>
        <v>116.25</v>
      </c>
    </row>
    <row r="275" spans="1:7" x14ac:dyDescent="0.2">
      <c r="A275" s="238" t="s">
        <v>188</v>
      </c>
      <c r="B275" s="236" t="s">
        <v>139</v>
      </c>
      <c r="C275" s="235">
        <v>200</v>
      </c>
      <c r="D275" s="237">
        <v>17.73</v>
      </c>
      <c r="E275" s="237">
        <v>17.16</v>
      </c>
      <c r="F275" s="237">
        <v>42.9</v>
      </c>
      <c r="G275" s="237">
        <v>409.09</v>
      </c>
    </row>
    <row r="276" spans="1:7" x14ac:dyDescent="0.2">
      <c r="A276" s="238" t="s">
        <v>42</v>
      </c>
      <c r="B276" s="236" t="s">
        <v>223</v>
      </c>
      <c r="C276" s="235">
        <v>200</v>
      </c>
      <c r="D276" s="237">
        <f>1.15</f>
        <v>1.1499999999999999</v>
      </c>
      <c r="E276" s="237"/>
      <c r="F276" s="237">
        <v>12.03</v>
      </c>
      <c r="G276" s="237">
        <v>55.4</v>
      </c>
    </row>
    <row r="277" spans="1:7" x14ac:dyDescent="0.2">
      <c r="A277" s="235"/>
      <c r="B277" s="236" t="s">
        <v>11</v>
      </c>
      <c r="C277" s="235">
        <v>40</v>
      </c>
      <c r="D277" s="237">
        <v>3.04</v>
      </c>
      <c r="E277" s="237">
        <v>0.32</v>
      </c>
      <c r="F277" s="237">
        <v>19.68</v>
      </c>
      <c r="G277" s="237">
        <v>98.34</v>
      </c>
    </row>
    <row r="278" spans="1:7" x14ac:dyDescent="0.2">
      <c r="A278" s="270" t="s">
        <v>252</v>
      </c>
      <c r="B278" s="271"/>
      <c r="C278" s="233">
        <f>SUM(C273:C277)</f>
        <v>800</v>
      </c>
      <c r="D278" s="237"/>
      <c r="E278" s="237"/>
      <c r="F278" s="237"/>
      <c r="G278" s="237"/>
    </row>
    <row r="279" spans="1:7" x14ac:dyDescent="0.2">
      <c r="A279" s="280" t="s">
        <v>285</v>
      </c>
      <c r="B279" s="281"/>
      <c r="C279" s="282"/>
      <c r="D279" s="232">
        <f>D280+D286</f>
        <v>36.862200000000001</v>
      </c>
      <c r="E279" s="232">
        <f t="shared" ref="E279:G279" si="42">E280+E286</f>
        <v>45.962699999999998</v>
      </c>
      <c r="F279" s="232">
        <f t="shared" si="42"/>
        <v>218.44800000000001</v>
      </c>
      <c r="G279" s="232">
        <f t="shared" si="42"/>
        <v>1497.8517400000001</v>
      </c>
    </row>
    <row r="280" spans="1:7" x14ac:dyDescent="0.2">
      <c r="A280" s="233"/>
      <c r="B280" s="258" t="s">
        <v>66</v>
      </c>
      <c r="C280" s="233"/>
      <c r="D280" s="232">
        <f>D281+D282+D283+D284</f>
        <v>16.98</v>
      </c>
      <c r="E280" s="232">
        <f t="shared" ref="E280:G280" si="43">E281+E282+E283+E284</f>
        <v>9.27</v>
      </c>
      <c r="F280" s="232">
        <f t="shared" si="43"/>
        <v>123.73</v>
      </c>
      <c r="G280" s="232">
        <f t="shared" si="43"/>
        <v>659.46600000000001</v>
      </c>
    </row>
    <row r="281" spans="1:7" x14ac:dyDescent="0.2">
      <c r="A281" s="238" t="s">
        <v>199</v>
      </c>
      <c r="B281" s="236" t="s">
        <v>196</v>
      </c>
      <c r="C281" s="235">
        <v>60</v>
      </c>
      <c r="D281" s="237">
        <v>4.91</v>
      </c>
      <c r="E281" s="237">
        <v>3.79</v>
      </c>
      <c r="F281" s="237">
        <v>36.090000000000003</v>
      </c>
      <c r="G281" s="237">
        <v>206.31</v>
      </c>
    </row>
    <row r="282" spans="1:7" ht="25.5" x14ac:dyDescent="0.2">
      <c r="A282" s="235" t="s">
        <v>180</v>
      </c>
      <c r="B282" s="236" t="s">
        <v>301</v>
      </c>
      <c r="C282" s="235">
        <v>253</v>
      </c>
      <c r="D282" s="237">
        <v>7.5</v>
      </c>
      <c r="E282" s="237">
        <v>5</v>
      </c>
      <c r="F282" s="237">
        <v>42.5</v>
      </c>
      <c r="G282" s="237">
        <v>240</v>
      </c>
    </row>
    <row r="283" spans="1:7" x14ac:dyDescent="0.2">
      <c r="A283" s="238" t="s">
        <v>231</v>
      </c>
      <c r="B283" s="236" t="s">
        <v>160</v>
      </c>
      <c r="C283" s="235">
        <v>200</v>
      </c>
      <c r="D283" s="237">
        <v>0.01</v>
      </c>
      <c r="E283" s="237"/>
      <c r="F283" s="237">
        <v>15.62</v>
      </c>
      <c r="G283" s="237">
        <v>65.646000000000001</v>
      </c>
    </row>
    <row r="284" spans="1:7" x14ac:dyDescent="0.2">
      <c r="A284" s="238"/>
      <c r="B284" s="236" t="s">
        <v>11</v>
      </c>
      <c r="C284" s="235">
        <v>60</v>
      </c>
      <c r="D284" s="237">
        <f>3.04*1.5</f>
        <v>4.5600000000000005</v>
      </c>
      <c r="E284" s="237">
        <f>0.32*1.5</f>
        <v>0.48</v>
      </c>
      <c r="F284" s="237">
        <f>19.68*1.5</f>
        <v>29.52</v>
      </c>
      <c r="G284" s="237">
        <f>98.34*1.5</f>
        <v>147.51</v>
      </c>
    </row>
    <row r="285" spans="1:7" x14ac:dyDescent="0.2">
      <c r="A285" s="270" t="s">
        <v>252</v>
      </c>
      <c r="B285" s="271"/>
      <c r="C285" s="233">
        <f>SUM(C281:C284)</f>
        <v>573</v>
      </c>
      <c r="D285" s="237"/>
      <c r="E285" s="237"/>
      <c r="F285" s="237"/>
      <c r="G285" s="237"/>
    </row>
    <row r="286" spans="1:7" x14ac:dyDescent="0.2">
      <c r="A286" s="235"/>
      <c r="B286" s="259" t="s">
        <v>67</v>
      </c>
      <c r="C286" s="233"/>
      <c r="D286" s="232">
        <f>D287+D288+D289+D290+D291+D292</f>
        <v>19.882199999999997</v>
      </c>
      <c r="E286" s="232">
        <f t="shared" ref="E286:G286" si="44">E287+E288+E289+E290+E291+E292</f>
        <v>36.692700000000002</v>
      </c>
      <c r="F286" s="232">
        <f t="shared" si="44"/>
        <v>94.718000000000004</v>
      </c>
      <c r="G286" s="232">
        <f t="shared" si="44"/>
        <v>838.38573999999994</v>
      </c>
    </row>
    <row r="287" spans="1:7" x14ac:dyDescent="0.2">
      <c r="A287" s="235" t="s">
        <v>190</v>
      </c>
      <c r="B287" s="236" t="s">
        <v>152</v>
      </c>
      <c r="C287" s="235">
        <v>100</v>
      </c>
      <c r="D287" s="237">
        <f>0.8*1.67</f>
        <v>1.3360000000000001</v>
      </c>
      <c r="E287" s="237">
        <f>3.11*1.67</f>
        <v>5.1936999999999998</v>
      </c>
      <c r="F287" s="237">
        <f>5.64*1.67</f>
        <v>9.4187999999999992</v>
      </c>
      <c r="G287" s="237">
        <f>55.8*1.67</f>
        <v>93.185999999999993</v>
      </c>
    </row>
    <row r="288" spans="1:7" ht="25.5" x14ac:dyDescent="0.2">
      <c r="A288" s="235" t="s">
        <v>124</v>
      </c>
      <c r="B288" s="236" t="s">
        <v>156</v>
      </c>
      <c r="C288" s="235">
        <v>255</v>
      </c>
      <c r="D288" s="237">
        <f>3.96*1.25</f>
        <v>4.95</v>
      </c>
      <c r="E288" s="237">
        <f>4.86*1.25</f>
        <v>6.0750000000000002</v>
      </c>
      <c r="F288" s="237">
        <f>17.01*1.25</f>
        <v>21.262500000000003</v>
      </c>
      <c r="G288" s="237">
        <f>131.81*1.254</f>
        <v>165.28973999999999</v>
      </c>
    </row>
    <row r="289" spans="1:7" x14ac:dyDescent="0.2">
      <c r="A289" s="238" t="s">
        <v>162</v>
      </c>
      <c r="B289" s="236" t="s">
        <v>163</v>
      </c>
      <c r="C289" s="244">
        <v>110</v>
      </c>
      <c r="D289" s="237">
        <v>9.15</v>
      </c>
      <c r="E289" s="237">
        <v>14.97</v>
      </c>
      <c r="F289" s="237">
        <v>10.6</v>
      </c>
      <c r="G289" s="237">
        <v>217.68</v>
      </c>
    </row>
    <row r="290" spans="1:7" x14ac:dyDescent="0.2">
      <c r="A290" s="235" t="s">
        <v>34</v>
      </c>
      <c r="B290" s="236" t="s">
        <v>32</v>
      </c>
      <c r="C290" s="235">
        <v>200</v>
      </c>
      <c r="D290" s="237">
        <v>3.26</v>
      </c>
      <c r="E290" s="237">
        <f>7.8*1.33</f>
        <v>10.374000000000001</v>
      </c>
      <c r="F290" s="237">
        <f>21.99*1.33</f>
        <v>29.246700000000001</v>
      </c>
      <c r="G290" s="237">
        <v>234.48</v>
      </c>
    </row>
    <row r="291" spans="1:7" x14ac:dyDescent="0.2">
      <c r="A291" s="235" t="s">
        <v>194</v>
      </c>
      <c r="B291" s="236" t="s">
        <v>90</v>
      </c>
      <c r="C291" s="235">
        <v>200</v>
      </c>
      <c r="D291" s="237">
        <f>0.14*1.33</f>
        <v>0.18620000000000003</v>
      </c>
      <c r="E291" s="237"/>
      <c r="F291" s="237">
        <v>16.190000000000001</v>
      </c>
      <c r="G291" s="237">
        <v>89.23</v>
      </c>
    </row>
    <row r="292" spans="1:7" x14ac:dyDescent="0.2">
      <c r="A292" s="239"/>
      <c r="B292" s="236" t="s">
        <v>37</v>
      </c>
      <c r="C292" s="235">
        <v>20</v>
      </c>
      <c r="D292" s="237">
        <v>1</v>
      </c>
      <c r="E292" s="237">
        <v>0.08</v>
      </c>
      <c r="F292" s="237">
        <v>8</v>
      </c>
      <c r="G292" s="237">
        <v>38.520000000000003</v>
      </c>
    </row>
    <row r="293" spans="1:7" x14ac:dyDescent="0.2">
      <c r="A293" s="270" t="s">
        <v>252</v>
      </c>
      <c r="B293" s="271"/>
      <c r="C293" s="233">
        <f>SUM(C287:C292)</f>
        <v>885</v>
      </c>
      <c r="D293" s="237"/>
      <c r="E293" s="237"/>
      <c r="F293" s="237"/>
      <c r="G293" s="237"/>
    </row>
    <row r="294" spans="1:7" x14ac:dyDescent="0.2">
      <c r="A294" s="280" t="s">
        <v>286</v>
      </c>
      <c r="B294" s="281"/>
      <c r="C294" s="282"/>
      <c r="D294" s="232">
        <f>D295+D302</f>
        <v>62.302499999999995</v>
      </c>
      <c r="E294" s="232">
        <f t="shared" ref="E294:G294" si="45">E295+E302</f>
        <v>49.5</v>
      </c>
      <c r="F294" s="232">
        <f t="shared" si="45"/>
        <v>165.05250000000001</v>
      </c>
      <c r="G294" s="232">
        <f t="shared" si="45"/>
        <v>1386.192</v>
      </c>
    </row>
    <row r="295" spans="1:7" x14ac:dyDescent="0.2">
      <c r="A295" s="233"/>
      <c r="B295" s="258" t="s">
        <v>66</v>
      </c>
      <c r="C295" s="233"/>
      <c r="D295" s="232">
        <f>D296+D297+D298+D299+D300</f>
        <v>36.149999999999991</v>
      </c>
      <c r="E295" s="232">
        <f t="shared" ref="E295:G295" si="46">E296+E297+E298+E299+E300</f>
        <v>14.77</v>
      </c>
      <c r="F295" s="232">
        <f t="shared" si="46"/>
        <v>88.360000000000014</v>
      </c>
      <c r="G295" s="232">
        <f t="shared" si="46"/>
        <v>641.85699999999997</v>
      </c>
    </row>
    <row r="296" spans="1:7" x14ac:dyDescent="0.2">
      <c r="A296" s="235"/>
      <c r="B296" s="236" t="s">
        <v>168</v>
      </c>
      <c r="C296" s="235">
        <v>40</v>
      </c>
      <c r="D296" s="237">
        <v>5.08</v>
      </c>
      <c r="E296" s="237">
        <v>4.5999999999999996</v>
      </c>
      <c r="F296" s="237">
        <v>0.28000000000000003</v>
      </c>
      <c r="G296" s="237">
        <v>63.911999999999999</v>
      </c>
    </row>
    <row r="297" spans="1:7" ht="25.5" x14ac:dyDescent="0.2">
      <c r="A297" s="235" t="s">
        <v>288</v>
      </c>
      <c r="B297" s="236" t="s">
        <v>287</v>
      </c>
      <c r="C297" s="235">
        <v>160</v>
      </c>
      <c r="D297" s="237">
        <v>26.83</v>
      </c>
      <c r="E297" s="237">
        <v>9.77</v>
      </c>
      <c r="F297" s="237">
        <v>42.7</v>
      </c>
      <c r="G297" s="237">
        <v>365.9</v>
      </c>
    </row>
    <row r="298" spans="1:7" x14ac:dyDescent="0.2">
      <c r="A298" s="235"/>
      <c r="B298" s="236" t="s">
        <v>41</v>
      </c>
      <c r="C298" s="235">
        <v>110</v>
      </c>
      <c r="D298" s="237">
        <v>0.44</v>
      </c>
      <c r="E298" s="237">
        <v>0</v>
      </c>
      <c r="F298" s="237">
        <v>10.78</v>
      </c>
      <c r="G298" s="237">
        <v>47.12</v>
      </c>
    </row>
    <row r="299" spans="1:7" x14ac:dyDescent="0.2">
      <c r="A299" s="235" t="s">
        <v>182</v>
      </c>
      <c r="B299" s="236" t="s">
        <v>10</v>
      </c>
      <c r="C299" s="239">
        <v>200</v>
      </c>
      <c r="D299" s="237">
        <v>0</v>
      </c>
      <c r="E299" s="237">
        <v>0</v>
      </c>
      <c r="F299" s="237">
        <v>10</v>
      </c>
      <c r="G299" s="237">
        <v>42</v>
      </c>
    </row>
    <row r="300" spans="1:7" x14ac:dyDescent="0.2">
      <c r="A300" s="235"/>
      <c r="B300" s="236" t="s">
        <v>11</v>
      </c>
      <c r="C300" s="235">
        <v>50</v>
      </c>
      <c r="D300" s="237">
        <f>3.04*1.25</f>
        <v>3.8</v>
      </c>
      <c r="E300" s="237">
        <f>0.32*1.25</f>
        <v>0.4</v>
      </c>
      <c r="F300" s="237">
        <f>19.68*1.25</f>
        <v>24.6</v>
      </c>
      <c r="G300" s="237">
        <f>98.34*1.25</f>
        <v>122.92500000000001</v>
      </c>
    </row>
    <row r="301" spans="1:7" x14ac:dyDescent="0.2">
      <c r="A301" s="270" t="s">
        <v>252</v>
      </c>
      <c r="B301" s="271"/>
      <c r="C301" s="245">
        <f>SUM(C296:C300)</f>
        <v>560</v>
      </c>
      <c r="D301" s="237"/>
      <c r="E301" s="237"/>
      <c r="F301" s="237"/>
      <c r="G301" s="237"/>
    </row>
    <row r="302" spans="1:7" x14ac:dyDescent="0.2">
      <c r="A302" s="235"/>
      <c r="B302" s="259" t="s">
        <v>67</v>
      </c>
      <c r="C302" s="233"/>
      <c r="D302" s="232">
        <f>D303+D304+D305+D306+D307</f>
        <v>26.1525</v>
      </c>
      <c r="E302" s="232">
        <f t="shared" ref="E302:G302" si="47">E303+E304+E305+E306+E307</f>
        <v>34.730000000000004</v>
      </c>
      <c r="F302" s="232">
        <f t="shared" si="47"/>
        <v>76.692499999999995</v>
      </c>
      <c r="G302" s="232">
        <f t="shared" si="47"/>
        <v>744.33500000000004</v>
      </c>
    </row>
    <row r="303" spans="1:7" x14ac:dyDescent="0.2">
      <c r="A303" s="235" t="s">
        <v>292</v>
      </c>
      <c r="B303" s="236" t="s">
        <v>291</v>
      </c>
      <c r="C303" s="235">
        <v>100</v>
      </c>
      <c r="D303" s="251">
        <v>0.8</v>
      </c>
      <c r="E303" s="237">
        <v>0</v>
      </c>
      <c r="F303" s="237">
        <v>1.7</v>
      </c>
      <c r="G303" s="237">
        <v>10</v>
      </c>
    </row>
    <row r="304" spans="1:7" ht="25.5" x14ac:dyDescent="0.2">
      <c r="A304" s="238" t="s">
        <v>187</v>
      </c>
      <c r="B304" s="236" t="s">
        <v>161</v>
      </c>
      <c r="C304" s="235">
        <v>260</v>
      </c>
      <c r="D304" s="237">
        <f>4.65*1.25</f>
        <v>5.8125</v>
      </c>
      <c r="E304" s="237">
        <f>6.92*1.25</f>
        <v>8.65</v>
      </c>
      <c r="F304" s="237">
        <f>12.49*1.25</f>
        <v>15.612500000000001</v>
      </c>
      <c r="G304" s="237">
        <f>134.268*1.25</f>
        <v>167.83500000000001</v>
      </c>
    </row>
    <row r="305" spans="1:7" x14ac:dyDescent="0.2">
      <c r="A305" s="235" t="s">
        <v>234</v>
      </c>
      <c r="B305" s="236" t="s">
        <v>157</v>
      </c>
      <c r="C305" s="235">
        <v>200</v>
      </c>
      <c r="D305" s="237">
        <v>16.48</v>
      </c>
      <c r="E305" s="237">
        <v>25.76</v>
      </c>
      <c r="F305" s="237">
        <v>10.39</v>
      </c>
      <c r="G305" s="237">
        <v>345</v>
      </c>
    </row>
    <row r="306" spans="1:7" ht="25.5" x14ac:dyDescent="0.2">
      <c r="A306" s="238" t="s">
        <v>40</v>
      </c>
      <c r="B306" s="236" t="s">
        <v>225</v>
      </c>
      <c r="C306" s="235">
        <v>200</v>
      </c>
      <c r="D306" s="237">
        <v>0.02</v>
      </c>
      <c r="E306" s="237"/>
      <c r="F306" s="237">
        <v>29.31</v>
      </c>
      <c r="G306" s="237">
        <v>123.16</v>
      </c>
    </row>
    <row r="307" spans="1:7" x14ac:dyDescent="0.2">
      <c r="A307" s="235"/>
      <c r="B307" s="236" t="s">
        <v>11</v>
      </c>
      <c r="C307" s="235">
        <v>40</v>
      </c>
      <c r="D307" s="237">
        <v>3.04</v>
      </c>
      <c r="E307" s="237">
        <v>0.32</v>
      </c>
      <c r="F307" s="237">
        <v>19.68</v>
      </c>
      <c r="G307" s="237">
        <v>98.34</v>
      </c>
    </row>
    <row r="308" spans="1:7" x14ac:dyDescent="0.2">
      <c r="A308" s="270" t="s">
        <v>252</v>
      </c>
      <c r="B308" s="271"/>
      <c r="C308" s="233">
        <f>SUM(C303:C307)</f>
        <v>800</v>
      </c>
      <c r="D308" s="235"/>
      <c r="E308" s="235"/>
      <c r="F308" s="235"/>
      <c r="G308" s="235"/>
    </row>
  </sheetData>
  <mergeCells count="67">
    <mergeCell ref="A308:B308"/>
    <mergeCell ref="A279:C279"/>
    <mergeCell ref="A285:B285"/>
    <mergeCell ref="A293:B293"/>
    <mergeCell ref="A294:C294"/>
    <mergeCell ref="A301:B301"/>
    <mergeCell ref="A257:B257"/>
    <mergeCell ref="A264:B264"/>
    <mergeCell ref="A265:C265"/>
    <mergeCell ref="A271:B271"/>
    <mergeCell ref="A278:B278"/>
    <mergeCell ref="A235:B235"/>
    <mergeCell ref="A236:C236"/>
    <mergeCell ref="A242:B242"/>
    <mergeCell ref="A250:B250"/>
    <mergeCell ref="A251:C251"/>
    <mergeCell ref="A207:C207"/>
    <mergeCell ref="A213:B213"/>
    <mergeCell ref="A221:B221"/>
    <mergeCell ref="A222:C222"/>
    <mergeCell ref="A228:B228"/>
    <mergeCell ref="A184:B184"/>
    <mergeCell ref="A192:B192"/>
    <mergeCell ref="A193:C193"/>
    <mergeCell ref="A199:B199"/>
    <mergeCell ref="A206:B206"/>
    <mergeCell ref="A8:C8"/>
    <mergeCell ref="A18:B18"/>
    <mergeCell ref="A25:B25"/>
    <mergeCell ref="A40:B40"/>
    <mergeCell ref="A47:B47"/>
    <mergeCell ref="A26:C26"/>
    <mergeCell ref="A41:C41"/>
    <mergeCell ref="A56:C56"/>
    <mergeCell ref="A70:C70"/>
    <mergeCell ref="A85:C85"/>
    <mergeCell ref="A32:B32"/>
    <mergeCell ref="A55:B55"/>
    <mergeCell ref="A69:B69"/>
    <mergeCell ref="A62:B62"/>
    <mergeCell ref="A76:B76"/>
    <mergeCell ref="A84:B84"/>
    <mergeCell ref="A5:A6"/>
    <mergeCell ref="B5:B6"/>
    <mergeCell ref="C5:C6"/>
    <mergeCell ref="A1:G2"/>
    <mergeCell ref="A3:G4"/>
    <mergeCell ref="D5:F5"/>
    <mergeCell ref="G5:G6"/>
    <mergeCell ref="A91:B91"/>
    <mergeCell ref="A98:B98"/>
    <mergeCell ref="A105:B105"/>
    <mergeCell ref="A113:B113"/>
    <mergeCell ref="A120:B120"/>
    <mergeCell ref="A99:C99"/>
    <mergeCell ref="A114:C114"/>
    <mergeCell ref="A161:C161"/>
    <mergeCell ref="A169:B169"/>
    <mergeCell ref="A177:B177"/>
    <mergeCell ref="A178:C178"/>
    <mergeCell ref="A128:B128"/>
    <mergeCell ref="A136:B136"/>
    <mergeCell ref="A144:B144"/>
    <mergeCell ref="A152:B152"/>
    <mergeCell ref="A160:B160"/>
    <mergeCell ref="A129:C129"/>
    <mergeCell ref="A145:C145"/>
  </mergeCells>
  <pageMargins left="0.75" right="0.75" top="1" bottom="1" header="0.5" footer="0.5"/>
  <pageSetup paperSize="9" scale="97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S149"/>
  <sheetViews>
    <sheetView topLeftCell="A112" zoomScale="118" zoomScaleNormal="118" workbookViewId="0">
      <selection sqref="A1:G149"/>
    </sheetView>
  </sheetViews>
  <sheetFormatPr defaultRowHeight="12.75" x14ac:dyDescent="0.2"/>
  <cols>
    <col min="1" max="1" width="11" style="197" customWidth="1"/>
    <col min="2" max="2" width="35.42578125" style="212" customWidth="1"/>
    <col min="3" max="3" width="10.42578125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0.42578125" style="197" customWidth="1"/>
    <col min="8" max="16384" width="9.140625" style="185"/>
  </cols>
  <sheetData>
    <row r="1" spans="1:7" x14ac:dyDescent="0.2">
      <c r="A1" s="267" t="s">
        <v>302</v>
      </c>
      <c r="B1" s="267"/>
      <c r="C1" s="267"/>
      <c r="D1" s="267"/>
      <c r="E1" s="267"/>
      <c r="F1" s="267"/>
      <c r="G1" s="267"/>
    </row>
    <row r="2" spans="1:7" x14ac:dyDescent="0.2">
      <c r="A2" s="267"/>
      <c r="B2" s="267"/>
      <c r="C2" s="267"/>
      <c r="D2" s="267"/>
      <c r="E2" s="267"/>
      <c r="F2" s="267"/>
      <c r="G2" s="267"/>
    </row>
    <row r="3" spans="1:7" x14ac:dyDescent="0.2">
      <c r="A3" s="264" t="s">
        <v>259</v>
      </c>
      <c r="B3" s="264"/>
      <c r="C3" s="264"/>
      <c r="D3" s="264"/>
      <c r="E3" s="264"/>
      <c r="F3" s="264"/>
      <c r="G3" s="264"/>
    </row>
    <row r="4" spans="1:7" ht="20.25" customHeight="1" x14ac:dyDescent="0.2">
      <c r="A4" s="265"/>
      <c r="B4" s="265"/>
      <c r="C4" s="265"/>
      <c r="D4" s="265"/>
      <c r="E4" s="265"/>
      <c r="F4" s="265"/>
      <c r="G4" s="265"/>
    </row>
    <row r="5" spans="1:7" ht="33.75" customHeight="1" x14ac:dyDescent="0.2">
      <c r="A5" s="268" t="s">
        <v>239</v>
      </c>
      <c r="B5" s="268" t="s">
        <v>240</v>
      </c>
      <c r="C5" s="268" t="s">
        <v>241</v>
      </c>
      <c r="D5" s="268" t="s">
        <v>242</v>
      </c>
      <c r="E5" s="268"/>
      <c r="F5" s="268"/>
      <c r="G5" s="268" t="s">
        <v>23</v>
      </c>
    </row>
    <row r="6" spans="1:7" ht="34.5" customHeight="1" x14ac:dyDescent="0.2">
      <c r="A6" s="268"/>
      <c r="B6" s="268"/>
      <c r="C6" s="268"/>
      <c r="D6" s="187"/>
      <c r="E6" s="187" t="s">
        <v>19</v>
      </c>
      <c r="F6" s="187" t="s">
        <v>21</v>
      </c>
      <c r="G6" s="26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72" t="s">
        <v>243</v>
      </c>
      <c r="B8" s="273"/>
      <c r="C8" s="274"/>
      <c r="D8" s="186">
        <f>D9</f>
        <v>11.89</v>
      </c>
      <c r="E8" s="186">
        <f>E9</f>
        <v>16.099999999999998</v>
      </c>
      <c r="F8" s="186">
        <f>F9</f>
        <v>67.860000000000014</v>
      </c>
      <c r="G8" s="186">
        <f>G9</f>
        <v>480.08000000000004</v>
      </c>
    </row>
    <row r="9" spans="1:7" x14ac:dyDescent="0.2">
      <c r="A9" s="187"/>
      <c r="B9" s="266"/>
      <c r="C9" s="266"/>
      <c r="D9" s="186">
        <f>D10+D11+D12+D13</f>
        <v>11.89</v>
      </c>
      <c r="E9" s="186">
        <f>E10+E11+E12+E13</f>
        <v>16.099999999999998</v>
      </c>
      <c r="F9" s="186">
        <f>F10+F11+F12+F13</f>
        <v>67.860000000000014</v>
      </c>
      <c r="G9" s="186">
        <f>G10+G11+G12+G13</f>
        <v>480.08000000000004</v>
      </c>
    </row>
    <row r="10" spans="1:7" x14ac:dyDescent="0.2">
      <c r="A10" s="189" t="s">
        <v>179</v>
      </c>
      <c r="B10" s="182" t="s">
        <v>136</v>
      </c>
      <c r="C10" s="189">
        <v>5</v>
      </c>
      <c r="D10" s="190">
        <v>0.05</v>
      </c>
      <c r="E10" s="190">
        <v>3.63</v>
      </c>
      <c r="F10" s="190">
        <v>7.0000000000000007E-2</v>
      </c>
      <c r="G10" s="190">
        <v>33.11</v>
      </c>
    </row>
    <row r="11" spans="1:7" ht="25.5" x14ac:dyDescent="0.2">
      <c r="A11" s="189" t="s">
        <v>180</v>
      </c>
      <c r="B11" s="182" t="s">
        <v>203</v>
      </c>
      <c r="C11" s="189">
        <v>205</v>
      </c>
      <c r="D11" s="190">
        <v>6.81</v>
      </c>
      <c r="E11" s="190">
        <v>10.45</v>
      </c>
      <c r="F11" s="190">
        <v>29.51</v>
      </c>
      <c r="G11" s="190">
        <v>246.6</v>
      </c>
    </row>
    <row r="12" spans="1:7" x14ac:dyDescent="0.2">
      <c r="A12" s="189" t="s">
        <v>183</v>
      </c>
      <c r="B12" s="182" t="s">
        <v>51</v>
      </c>
      <c r="C12" s="189">
        <v>200</v>
      </c>
      <c r="D12" s="190">
        <v>1.99</v>
      </c>
      <c r="E12" s="190">
        <v>1.7</v>
      </c>
      <c r="F12" s="190">
        <v>18.600000000000001</v>
      </c>
      <c r="G12" s="190">
        <v>102.03</v>
      </c>
    </row>
    <row r="13" spans="1:7" x14ac:dyDescent="0.2">
      <c r="A13" s="189"/>
      <c r="B13" s="182" t="s">
        <v>11</v>
      </c>
      <c r="C13" s="189">
        <v>40</v>
      </c>
      <c r="D13" s="190">
        <v>3.04</v>
      </c>
      <c r="E13" s="190">
        <v>0.32</v>
      </c>
      <c r="F13" s="190">
        <v>19.68</v>
      </c>
      <c r="G13" s="190">
        <v>98.34</v>
      </c>
    </row>
    <row r="14" spans="1:7" hidden="1" x14ac:dyDescent="0.2">
      <c r="A14" s="206"/>
      <c r="B14" s="182"/>
      <c r="C14" s="206"/>
      <c r="D14" s="190"/>
      <c r="E14" s="190"/>
      <c r="F14" s="190"/>
      <c r="G14" s="190"/>
    </row>
    <row r="15" spans="1:7" hidden="1" x14ac:dyDescent="0.2">
      <c r="A15" s="196"/>
      <c r="B15" s="191"/>
      <c r="C15" s="196"/>
      <c r="D15" s="192"/>
      <c r="E15" s="192"/>
      <c r="F15" s="192"/>
      <c r="G15" s="192"/>
    </row>
    <row r="16" spans="1:7" x14ac:dyDescent="0.2">
      <c r="A16" s="262" t="s">
        <v>252</v>
      </c>
      <c r="B16" s="263"/>
      <c r="C16" s="207">
        <f>SUM(C10:C15)</f>
        <v>450</v>
      </c>
      <c r="D16" s="192"/>
      <c r="E16" s="192"/>
      <c r="F16" s="192"/>
      <c r="G16" s="192"/>
    </row>
    <row r="17" spans="1:7" ht="27.95" customHeight="1" x14ac:dyDescent="0.2">
      <c r="A17" s="272" t="s">
        <v>244</v>
      </c>
      <c r="B17" s="273"/>
      <c r="C17" s="274"/>
      <c r="D17" s="186">
        <f>D18</f>
        <v>14.302499999999998</v>
      </c>
      <c r="E17" s="186">
        <f>E18</f>
        <v>8.3674999999999997</v>
      </c>
      <c r="F17" s="186">
        <f>F18</f>
        <v>86.497500000000002</v>
      </c>
      <c r="G17" s="186">
        <f>G18</f>
        <v>499.25</v>
      </c>
    </row>
    <row r="18" spans="1:7" x14ac:dyDescent="0.2">
      <c r="A18" s="187"/>
      <c r="B18" s="266"/>
      <c r="C18" s="266"/>
      <c r="D18" s="186">
        <f>D19+D20+D21+D22</f>
        <v>14.302499999999998</v>
      </c>
      <c r="E18" s="186">
        <f>E19+E20+E21+E22</f>
        <v>8.3674999999999997</v>
      </c>
      <c r="F18" s="186">
        <f>F19+F20+F21+F22</f>
        <v>86.497500000000002</v>
      </c>
      <c r="G18" s="186">
        <f>G19+G20+G21+G22</f>
        <v>499.25</v>
      </c>
    </row>
    <row r="19" spans="1:7" ht="25.5" x14ac:dyDescent="0.2">
      <c r="A19" s="189" t="s">
        <v>180</v>
      </c>
      <c r="B19" s="182" t="s">
        <v>206</v>
      </c>
      <c r="C19" s="189">
        <v>253</v>
      </c>
      <c r="D19" s="190">
        <f>7.81*1.25</f>
        <v>9.7624999999999993</v>
      </c>
      <c r="E19" s="190">
        <f>4.55*1.25</f>
        <v>5.6875</v>
      </c>
      <c r="F19" s="190">
        <f>33.47*1.25</f>
        <v>41.837499999999999</v>
      </c>
      <c r="G19" s="190">
        <v>267.91000000000003</v>
      </c>
    </row>
    <row r="20" spans="1:7" x14ac:dyDescent="0.2">
      <c r="A20" s="196"/>
      <c r="B20" s="182" t="s">
        <v>62</v>
      </c>
      <c r="C20" s="189">
        <v>20</v>
      </c>
      <c r="D20" s="190">
        <v>1.5</v>
      </c>
      <c r="E20" s="190">
        <v>2.36</v>
      </c>
      <c r="F20" s="190">
        <v>14.98</v>
      </c>
      <c r="G20" s="190">
        <v>91</v>
      </c>
    </row>
    <row r="21" spans="1:7" x14ac:dyDescent="0.2">
      <c r="A21" s="196" t="s">
        <v>182</v>
      </c>
      <c r="B21" s="182" t="s">
        <v>10</v>
      </c>
      <c r="C21" s="189">
        <v>200</v>
      </c>
      <c r="D21" s="190">
        <v>0</v>
      </c>
      <c r="E21" s="190">
        <v>0</v>
      </c>
      <c r="F21" s="190">
        <v>10</v>
      </c>
      <c r="G21" s="190">
        <v>42</v>
      </c>
    </row>
    <row r="22" spans="1:7" x14ac:dyDescent="0.2">
      <c r="A22" s="189"/>
      <c r="B22" s="182" t="s">
        <v>11</v>
      </c>
      <c r="C22" s="189">
        <v>40</v>
      </c>
      <c r="D22" s="190">
        <v>3.04</v>
      </c>
      <c r="E22" s="190">
        <v>0.32</v>
      </c>
      <c r="F22" s="190">
        <v>19.68</v>
      </c>
      <c r="G22" s="190">
        <v>98.34</v>
      </c>
    </row>
    <row r="23" spans="1:7" x14ac:dyDescent="0.2">
      <c r="A23" s="262" t="s">
        <v>252</v>
      </c>
      <c r="B23" s="263"/>
      <c r="C23" s="187">
        <f>SUM(C19:C22)</f>
        <v>513</v>
      </c>
      <c r="D23" s="190"/>
      <c r="E23" s="190"/>
      <c r="F23" s="190"/>
      <c r="G23" s="190"/>
    </row>
    <row r="24" spans="1:7" ht="27.95" customHeight="1" x14ac:dyDescent="0.2">
      <c r="A24" s="272" t="s">
        <v>245</v>
      </c>
      <c r="B24" s="273"/>
      <c r="C24" s="274"/>
      <c r="D24" s="186">
        <f>D25</f>
        <v>25.403999999999996</v>
      </c>
      <c r="E24" s="186">
        <f>E25</f>
        <v>16.608000000000001</v>
      </c>
      <c r="F24" s="186">
        <f>F25</f>
        <v>94.418000000000006</v>
      </c>
      <c r="G24" s="186">
        <f>G25</f>
        <v>652.34</v>
      </c>
    </row>
    <row r="25" spans="1:7" x14ac:dyDescent="0.2">
      <c r="A25" s="187"/>
      <c r="B25" s="266"/>
      <c r="C25" s="266"/>
      <c r="D25" s="186">
        <f>D26+D27+D28+D29</f>
        <v>25.403999999999996</v>
      </c>
      <c r="E25" s="186">
        <f t="shared" ref="E25:F25" si="0">E26+E27+E28+E29</f>
        <v>16.608000000000001</v>
      </c>
      <c r="F25" s="186">
        <f t="shared" si="0"/>
        <v>94.418000000000006</v>
      </c>
      <c r="G25" s="186">
        <f>G26+G27+G28+G29</f>
        <v>652.34</v>
      </c>
    </row>
    <row r="26" spans="1:7" x14ac:dyDescent="0.2">
      <c r="A26" s="189" t="s">
        <v>131</v>
      </c>
      <c r="B26" s="182" t="s">
        <v>146</v>
      </c>
      <c r="C26" s="189">
        <v>90</v>
      </c>
      <c r="D26" s="190">
        <v>11.84</v>
      </c>
      <c r="E26" s="190">
        <v>10.06</v>
      </c>
      <c r="F26" s="190">
        <v>16.03</v>
      </c>
      <c r="G26" s="190">
        <v>208</v>
      </c>
    </row>
    <row r="27" spans="1:7" x14ac:dyDescent="0.2">
      <c r="A27" s="196" t="s">
        <v>38</v>
      </c>
      <c r="B27" s="182" t="s">
        <v>36</v>
      </c>
      <c r="C27" s="189">
        <v>180</v>
      </c>
      <c r="D27" s="190">
        <f>8.77*1.2</f>
        <v>10.523999999999999</v>
      </c>
      <c r="E27" s="190">
        <f>5.19*1.2</f>
        <v>6.2280000000000006</v>
      </c>
      <c r="F27" s="190">
        <f>39.6*1.23</f>
        <v>48.707999999999998</v>
      </c>
      <c r="G27" s="190">
        <v>304</v>
      </c>
    </row>
    <row r="28" spans="1:7" ht="24" customHeight="1" x14ac:dyDescent="0.2">
      <c r="A28" s="196" t="s">
        <v>182</v>
      </c>
      <c r="B28" s="182" t="s">
        <v>10</v>
      </c>
      <c r="C28" s="189">
        <v>200</v>
      </c>
      <c r="D28" s="190">
        <v>0</v>
      </c>
      <c r="E28" s="190">
        <v>0</v>
      </c>
      <c r="F28" s="190">
        <v>10</v>
      </c>
      <c r="G28" s="190">
        <v>42</v>
      </c>
    </row>
    <row r="29" spans="1:7" x14ac:dyDescent="0.2">
      <c r="A29" s="196"/>
      <c r="B29" s="182" t="s">
        <v>11</v>
      </c>
      <c r="C29" s="189">
        <v>40</v>
      </c>
      <c r="D29" s="190">
        <v>3.04</v>
      </c>
      <c r="E29" s="190">
        <v>0.32</v>
      </c>
      <c r="F29" s="190">
        <v>19.68</v>
      </c>
      <c r="G29" s="190">
        <v>98.34</v>
      </c>
    </row>
    <row r="30" spans="1:7" x14ac:dyDescent="0.2">
      <c r="A30" s="262" t="s">
        <v>252</v>
      </c>
      <c r="B30" s="263"/>
      <c r="C30" s="187">
        <f>SUM(C26:C29)</f>
        <v>510</v>
      </c>
      <c r="D30" s="190"/>
      <c r="E30" s="190"/>
      <c r="F30" s="190"/>
      <c r="G30" s="190"/>
    </row>
    <row r="31" spans="1:7" ht="27.95" customHeight="1" x14ac:dyDescent="0.2">
      <c r="A31" s="272" t="s">
        <v>246</v>
      </c>
      <c r="B31" s="273"/>
      <c r="C31" s="274"/>
      <c r="D31" s="186">
        <f>D32</f>
        <v>13.69</v>
      </c>
      <c r="E31" s="186">
        <f>E32</f>
        <v>8.1999999999999993</v>
      </c>
      <c r="F31" s="186">
        <f>F32</f>
        <v>92.210000000000008</v>
      </c>
      <c r="G31" s="186">
        <f>G32</f>
        <v>518.6</v>
      </c>
    </row>
    <row r="32" spans="1:7" x14ac:dyDescent="0.2">
      <c r="A32" s="187"/>
      <c r="B32" s="188"/>
      <c r="C32" s="187"/>
      <c r="D32" s="186">
        <f>D33+D34+D35+D36</f>
        <v>13.69</v>
      </c>
      <c r="E32" s="186">
        <f t="shared" ref="E32:F32" si="1">E33+E34+E35+E36</f>
        <v>8.1999999999999993</v>
      </c>
      <c r="F32" s="186">
        <f t="shared" si="1"/>
        <v>92.210000000000008</v>
      </c>
      <c r="G32" s="186">
        <f>G33+G34+G35+G36</f>
        <v>518.6</v>
      </c>
    </row>
    <row r="33" spans="1:11" x14ac:dyDescent="0.2">
      <c r="A33" s="196" t="s">
        <v>199</v>
      </c>
      <c r="B33" s="182" t="s">
        <v>196</v>
      </c>
      <c r="C33" s="189">
        <v>60</v>
      </c>
      <c r="D33" s="190">
        <v>4.91</v>
      </c>
      <c r="E33" s="190">
        <v>3.79</v>
      </c>
      <c r="F33" s="190">
        <v>36.090000000000003</v>
      </c>
      <c r="G33" s="190">
        <v>206.31</v>
      </c>
    </row>
    <row r="34" spans="1:11" ht="25.5" x14ac:dyDescent="0.2">
      <c r="A34" s="189" t="s">
        <v>180</v>
      </c>
      <c r="B34" s="182" t="s">
        <v>207</v>
      </c>
      <c r="C34" s="189">
        <v>203</v>
      </c>
      <c r="D34" s="190">
        <v>7.26</v>
      </c>
      <c r="E34" s="190">
        <v>4.25</v>
      </c>
      <c r="F34" s="190">
        <v>36.28</v>
      </c>
      <c r="G34" s="190">
        <v>221.12</v>
      </c>
    </row>
    <row r="35" spans="1:11" x14ac:dyDescent="0.2">
      <c r="A35" s="196" t="s">
        <v>182</v>
      </c>
      <c r="B35" s="191" t="s">
        <v>10</v>
      </c>
      <c r="C35" s="189">
        <v>200</v>
      </c>
      <c r="D35" s="190">
        <v>0</v>
      </c>
      <c r="E35" s="190">
        <v>0</v>
      </c>
      <c r="F35" s="190">
        <v>10</v>
      </c>
      <c r="G35" s="190">
        <v>42</v>
      </c>
    </row>
    <row r="36" spans="1:11" ht="15" customHeight="1" x14ac:dyDescent="0.2">
      <c r="A36" s="206"/>
      <c r="B36" s="182" t="s">
        <v>11</v>
      </c>
      <c r="C36" s="189">
        <v>20</v>
      </c>
      <c r="D36" s="190">
        <v>1.52</v>
      </c>
      <c r="E36" s="190">
        <v>0.16</v>
      </c>
      <c r="F36" s="190">
        <v>9.84</v>
      </c>
      <c r="G36" s="190">
        <v>49.17</v>
      </c>
    </row>
    <row r="37" spans="1:11" ht="15" customHeight="1" x14ac:dyDescent="0.2">
      <c r="A37" s="262" t="s">
        <v>252</v>
      </c>
      <c r="B37" s="263"/>
      <c r="C37" s="187">
        <f>SUM(C33:C36)</f>
        <v>483</v>
      </c>
      <c r="D37" s="190"/>
      <c r="E37" s="190"/>
      <c r="F37" s="190"/>
      <c r="G37" s="190"/>
    </row>
    <row r="38" spans="1:11" ht="27.95" customHeight="1" x14ac:dyDescent="0.2">
      <c r="A38" s="272" t="s">
        <v>247</v>
      </c>
      <c r="B38" s="273"/>
      <c r="C38" s="274"/>
      <c r="D38" s="186">
        <f>D39</f>
        <v>13.36</v>
      </c>
      <c r="E38" s="186">
        <f>E39</f>
        <v>9.3800000000000008</v>
      </c>
      <c r="F38" s="186">
        <f>F39</f>
        <v>79.290000000000006</v>
      </c>
      <c r="G38" s="186">
        <f>G39</f>
        <v>473.57</v>
      </c>
    </row>
    <row r="39" spans="1:11" x14ac:dyDescent="0.2">
      <c r="A39" s="187"/>
      <c r="B39" s="188"/>
      <c r="C39" s="187"/>
      <c r="D39" s="186">
        <f>D40+D41+D42+D43</f>
        <v>13.36</v>
      </c>
      <c r="E39" s="186">
        <f t="shared" ref="E39:F39" si="2">E40+E41+E42+E43</f>
        <v>9.3800000000000008</v>
      </c>
      <c r="F39" s="186">
        <f t="shared" si="2"/>
        <v>79.290000000000006</v>
      </c>
      <c r="G39" s="186">
        <f>G40+G41+G42+G43</f>
        <v>473.57</v>
      </c>
    </row>
    <row r="40" spans="1:11" x14ac:dyDescent="0.2">
      <c r="A40" s="189" t="s">
        <v>200</v>
      </c>
      <c r="B40" s="182" t="s">
        <v>197</v>
      </c>
      <c r="C40" s="189">
        <v>203</v>
      </c>
      <c r="D40" s="190">
        <v>11.44</v>
      </c>
      <c r="E40" s="190">
        <v>9.2200000000000006</v>
      </c>
      <c r="F40" s="190">
        <v>49.65</v>
      </c>
      <c r="G40" s="190">
        <v>339.56</v>
      </c>
    </row>
    <row r="41" spans="1:11" x14ac:dyDescent="0.2">
      <c r="A41" s="189"/>
      <c r="B41" s="182" t="s">
        <v>41</v>
      </c>
      <c r="C41" s="189">
        <v>100</v>
      </c>
      <c r="D41" s="190">
        <v>0.4</v>
      </c>
      <c r="E41" s="190">
        <v>0</v>
      </c>
      <c r="F41" s="190">
        <v>9.8000000000000007</v>
      </c>
      <c r="G41" s="190">
        <v>42.84</v>
      </c>
    </row>
    <row r="42" spans="1:11" x14ac:dyDescent="0.2">
      <c r="A42" s="196" t="s">
        <v>182</v>
      </c>
      <c r="B42" s="191" t="s">
        <v>10</v>
      </c>
      <c r="C42" s="189">
        <v>200</v>
      </c>
      <c r="D42" s="190">
        <v>0</v>
      </c>
      <c r="E42" s="190">
        <v>0</v>
      </c>
      <c r="F42" s="190">
        <v>10</v>
      </c>
      <c r="G42" s="190">
        <v>42</v>
      </c>
    </row>
    <row r="43" spans="1:11" ht="13.5" customHeight="1" x14ac:dyDescent="0.2">
      <c r="A43" s="206"/>
      <c r="B43" s="182" t="s">
        <v>11</v>
      </c>
      <c r="C43" s="189">
        <v>20</v>
      </c>
      <c r="D43" s="190">
        <v>1.52</v>
      </c>
      <c r="E43" s="190">
        <v>0.16</v>
      </c>
      <c r="F43" s="190">
        <v>9.84</v>
      </c>
      <c r="G43" s="190">
        <v>49.17</v>
      </c>
    </row>
    <row r="44" spans="1:11" x14ac:dyDescent="0.2">
      <c r="A44" s="262" t="s">
        <v>252</v>
      </c>
      <c r="B44" s="263"/>
      <c r="C44" s="187">
        <f>SUM(C40:C43)</f>
        <v>523</v>
      </c>
      <c r="D44" s="190"/>
      <c r="E44" s="190"/>
      <c r="F44" s="190"/>
      <c r="G44" s="190"/>
    </row>
    <row r="45" spans="1:11" ht="27.95" customHeight="1" x14ac:dyDescent="0.2">
      <c r="A45" s="272" t="s">
        <v>248</v>
      </c>
      <c r="B45" s="273"/>
      <c r="C45" s="274"/>
      <c r="D45" s="186">
        <f>D46</f>
        <v>11.29</v>
      </c>
      <c r="E45" s="186">
        <f t="shared" ref="E45:G45" si="3">E46</f>
        <v>14.149999999999999</v>
      </c>
      <c r="F45" s="186">
        <f t="shared" si="3"/>
        <v>79.77000000000001</v>
      </c>
      <c r="G45" s="186">
        <f t="shared" si="3"/>
        <v>509.77</v>
      </c>
    </row>
    <row r="46" spans="1:11" x14ac:dyDescent="0.2">
      <c r="A46" s="187"/>
      <c r="B46" s="188"/>
      <c r="C46" s="187"/>
      <c r="D46" s="186">
        <f>D47+D48+D49+D50</f>
        <v>11.29</v>
      </c>
      <c r="E46" s="186">
        <f>E47+E48+E49+E50</f>
        <v>14.149999999999999</v>
      </c>
      <c r="F46" s="186">
        <f>F47+F48+F49+F50</f>
        <v>79.77000000000001</v>
      </c>
      <c r="G46" s="186">
        <f>G47+G48+G49+G50</f>
        <v>509.77</v>
      </c>
    </row>
    <row r="47" spans="1:11" x14ac:dyDescent="0.2">
      <c r="A47" s="189" t="s">
        <v>179</v>
      </c>
      <c r="B47" s="182" t="s">
        <v>136</v>
      </c>
      <c r="C47" s="189">
        <v>5</v>
      </c>
      <c r="D47" s="190">
        <v>0.05</v>
      </c>
      <c r="E47" s="190">
        <v>3.63</v>
      </c>
      <c r="F47" s="190">
        <v>7.0000000000000007E-2</v>
      </c>
      <c r="G47" s="190">
        <v>33.11</v>
      </c>
    </row>
    <row r="48" spans="1:11" ht="24.75" customHeight="1" x14ac:dyDescent="0.2">
      <c r="A48" s="189" t="s">
        <v>180</v>
      </c>
      <c r="B48" s="182" t="s">
        <v>205</v>
      </c>
      <c r="C48" s="189">
        <v>203</v>
      </c>
      <c r="D48" s="190">
        <v>8.1999999999999993</v>
      </c>
      <c r="E48" s="190">
        <v>10.199999999999999</v>
      </c>
      <c r="F48" s="190">
        <v>50.02</v>
      </c>
      <c r="G48" s="190">
        <v>336.32</v>
      </c>
      <c r="H48" s="194"/>
      <c r="I48" s="194"/>
      <c r="J48" s="194"/>
      <c r="K48" s="194"/>
    </row>
    <row r="49" spans="1:18" ht="12" customHeight="1" x14ac:dyDescent="0.2">
      <c r="A49" s="189" t="s">
        <v>182</v>
      </c>
      <c r="B49" s="182" t="s">
        <v>10</v>
      </c>
      <c r="C49" s="189">
        <v>200</v>
      </c>
      <c r="D49" s="190">
        <v>0</v>
      </c>
      <c r="E49" s="190">
        <v>0</v>
      </c>
      <c r="F49" s="190">
        <v>10</v>
      </c>
      <c r="G49" s="190">
        <v>42</v>
      </c>
      <c r="H49" s="194"/>
      <c r="I49" s="194"/>
      <c r="J49" s="194"/>
      <c r="K49" s="194"/>
    </row>
    <row r="50" spans="1:18" x14ac:dyDescent="0.2">
      <c r="A50" s="206"/>
      <c r="B50" s="182" t="s">
        <v>11</v>
      </c>
      <c r="C50" s="189">
        <v>40</v>
      </c>
      <c r="D50" s="190">
        <v>3.04</v>
      </c>
      <c r="E50" s="190">
        <v>0.32</v>
      </c>
      <c r="F50" s="190">
        <v>19.68</v>
      </c>
      <c r="G50" s="190">
        <v>98.34</v>
      </c>
      <c r="H50" s="194"/>
      <c r="I50" s="194"/>
      <c r="J50" s="194"/>
    </row>
    <row r="51" spans="1:18" x14ac:dyDescent="0.2">
      <c r="A51" s="262" t="s">
        <v>252</v>
      </c>
      <c r="B51" s="263"/>
      <c r="C51" s="207">
        <f>SUM(C47:C50)</f>
        <v>448</v>
      </c>
      <c r="D51" s="192"/>
      <c r="E51" s="192"/>
      <c r="F51" s="192"/>
      <c r="G51" s="192"/>
    </row>
    <row r="52" spans="1:18" ht="27.95" customHeight="1" x14ac:dyDescent="0.2">
      <c r="A52" s="266" t="s">
        <v>64</v>
      </c>
      <c r="B52" s="266"/>
      <c r="C52" s="266"/>
      <c r="D52" s="186">
        <f>D53</f>
        <v>13.6</v>
      </c>
      <c r="E52" s="186">
        <f t="shared" ref="E52:G52" si="4">E53</f>
        <v>8.61</v>
      </c>
      <c r="F52" s="186">
        <f t="shared" si="4"/>
        <v>102.07000000000002</v>
      </c>
      <c r="G52" s="186">
        <f t="shared" si="4"/>
        <v>564.0859999999999</v>
      </c>
    </row>
    <row r="53" spans="1:18" x14ac:dyDescent="0.2">
      <c r="A53" s="187"/>
      <c r="B53" s="266"/>
      <c r="C53" s="266"/>
      <c r="D53" s="186">
        <f>D54+D55+D56+D57</f>
        <v>13.6</v>
      </c>
      <c r="E53" s="186">
        <f>E54+E55+E56+E57</f>
        <v>8.61</v>
      </c>
      <c r="F53" s="186">
        <f>F54+F55+F56+F57</f>
        <v>102.07000000000002</v>
      </c>
      <c r="G53" s="186">
        <f>G54+G55+G56+G57</f>
        <v>564.0859999999999</v>
      </c>
    </row>
    <row r="54" spans="1:18" ht="17.25" customHeight="1" x14ac:dyDescent="0.2">
      <c r="A54" s="196" t="s">
        <v>199</v>
      </c>
      <c r="B54" s="182" t="s">
        <v>196</v>
      </c>
      <c r="C54" s="189">
        <v>60</v>
      </c>
      <c r="D54" s="190">
        <v>4.91</v>
      </c>
      <c r="E54" s="190">
        <v>3.79</v>
      </c>
      <c r="F54" s="190">
        <v>36.090000000000003</v>
      </c>
      <c r="G54" s="190">
        <v>206.31</v>
      </c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</row>
    <row r="55" spans="1:18" ht="22.5" customHeight="1" x14ac:dyDescent="0.2">
      <c r="A55" s="189" t="s">
        <v>180</v>
      </c>
      <c r="B55" s="182" t="s">
        <v>198</v>
      </c>
      <c r="C55" s="189">
        <v>203</v>
      </c>
      <c r="D55" s="190">
        <v>7.16</v>
      </c>
      <c r="E55" s="190">
        <v>4.66</v>
      </c>
      <c r="F55" s="190">
        <v>40.520000000000003</v>
      </c>
      <c r="G55" s="190">
        <v>242.96</v>
      </c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1:18" ht="14.25" customHeight="1" x14ac:dyDescent="0.2">
      <c r="A56" s="196" t="s">
        <v>231</v>
      </c>
      <c r="B56" s="182" t="s">
        <v>160</v>
      </c>
      <c r="C56" s="189">
        <v>200</v>
      </c>
      <c r="D56" s="190">
        <v>0.01</v>
      </c>
      <c r="E56" s="190"/>
      <c r="F56" s="190">
        <v>15.62</v>
      </c>
      <c r="G56" s="190">
        <v>65.646000000000001</v>
      </c>
      <c r="H56" s="184"/>
      <c r="I56" s="197"/>
      <c r="J56" s="197"/>
      <c r="K56" s="197"/>
      <c r="L56" s="197"/>
      <c r="M56" s="197"/>
      <c r="N56" s="197"/>
      <c r="O56" s="197"/>
      <c r="P56" s="197"/>
      <c r="Q56" s="197"/>
      <c r="R56" s="197"/>
    </row>
    <row r="57" spans="1:18" ht="14.25" customHeight="1" x14ac:dyDescent="0.2">
      <c r="A57" s="189"/>
      <c r="B57" s="182" t="s">
        <v>11</v>
      </c>
      <c r="C57" s="189">
        <v>20</v>
      </c>
      <c r="D57" s="190">
        <v>1.52</v>
      </c>
      <c r="E57" s="190">
        <v>0.16</v>
      </c>
      <c r="F57" s="190">
        <v>9.84</v>
      </c>
      <c r="G57" s="190">
        <v>49.17</v>
      </c>
      <c r="H57" s="184"/>
      <c r="I57" s="184"/>
      <c r="J57" s="184"/>
      <c r="K57" s="184"/>
      <c r="L57" s="184"/>
      <c r="M57" s="184"/>
      <c r="N57" s="184"/>
      <c r="O57" s="197"/>
      <c r="P57" s="184"/>
      <c r="Q57" s="184"/>
      <c r="R57" s="198"/>
    </row>
    <row r="58" spans="1:18" ht="13.5" customHeight="1" x14ac:dyDescent="0.2">
      <c r="A58" s="262" t="s">
        <v>252</v>
      </c>
      <c r="B58" s="263"/>
      <c r="C58" s="207">
        <f>SUM(C54:C57)</f>
        <v>483</v>
      </c>
      <c r="D58" s="192"/>
      <c r="E58" s="192"/>
      <c r="F58" s="192"/>
      <c r="G58" s="192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</row>
    <row r="59" spans="1:18" ht="27.95" customHeight="1" x14ac:dyDescent="0.2">
      <c r="A59" s="272" t="s">
        <v>249</v>
      </c>
      <c r="B59" s="273"/>
      <c r="C59" s="274"/>
      <c r="D59" s="186">
        <f>D60</f>
        <v>14.530000000000001</v>
      </c>
      <c r="E59" s="186">
        <f>E60</f>
        <v>13.170000000000002</v>
      </c>
      <c r="F59" s="186">
        <f>F60</f>
        <v>79.400000000000006</v>
      </c>
      <c r="G59" s="186">
        <f>G60</f>
        <v>513.01</v>
      </c>
    </row>
    <row r="60" spans="1:18" x14ac:dyDescent="0.2">
      <c r="A60" s="187"/>
      <c r="B60" s="266"/>
      <c r="C60" s="266"/>
      <c r="D60" s="186">
        <f>D61+D62+D63+D64</f>
        <v>14.530000000000001</v>
      </c>
      <c r="E60" s="186">
        <f>E61+E62+E63+E64</f>
        <v>13.170000000000002</v>
      </c>
      <c r="F60" s="186">
        <f>F61+F62+F63+F64</f>
        <v>79.400000000000006</v>
      </c>
      <c r="G60" s="186">
        <f>G61+G62+G63+G64</f>
        <v>513.01</v>
      </c>
    </row>
    <row r="61" spans="1:18" x14ac:dyDescent="0.2">
      <c r="A61" s="189" t="s">
        <v>179</v>
      </c>
      <c r="B61" s="182" t="s">
        <v>136</v>
      </c>
      <c r="C61" s="189">
        <v>5</v>
      </c>
      <c r="D61" s="190">
        <v>0.05</v>
      </c>
      <c r="E61" s="190">
        <v>3.63</v>
      </c>
      <c r="F61" s="190">
        <v>7.0000000000000007E-2</v>
      </c>
      <c r="G61" s="190">
        <v>33.11</v>
      </c>
    </row>
    <row r="62" spans="1:18" x14ac:dyDescent="0.2">
      <c r="A62" s="189" t="s">
        <v>200</v>
      </c>
      <c r="B62" s="182" t="s">
        <v>197</v>
      </c>
      <c r="C62" s="189">
        <v>203</v>
      </c>
      <c r="D62" s="190">
        <v>11.44</v>
      </c>
      <c r="E62" s="190">
        <v>9.2200000000000006</v>
      </c>
      <c r="F62" s="190">
        <v>49.65</v>
      </c>
      <c r="G62" s="190">
        <v>339.56</v>
      </c>
    </row>
    <row r="63" spans="1:18" x14ac:dyDescent="0.2">
      <c r="A63" s="189" t="s">
        <v>182</v>
      </c>
      <c r="B63" s="182" t="s">
        <v>10</v>
      </c>
      <c r="C63" s="206">
        <v>200</v>
      </c>
      <c r="D63" s="190">
        <v>0</v>
      </c>
      <c r="E63" s="190">
        <v>0</v>
      </c>
      <c r="F63" s="190">
        <v>10</v>
      </c>
      <c r="G63" s="190">
        <v>42</v>
      </c>
    </row>
    <row r="64" spans="1:18" x14ac:dyDescent="0.2">
      <c r="A64" s="196"/>
      <c r="B64" s="191" t="s">
        <v>11</v>
      </c>
      <c r="C64" s="196">
        <v>40</v>
      </c>
      <c r="D64" s="192">
        <v>3.04</v>
      </c>
      <c r="E64" s="192">
        <v>0.32</v>
      </c>
      <c r="F64" s="192">
        <v>19.68</v>
      </c>
      <c r="G64" s="192">
        <v>98.34</v>
      </c>
    </row>
    <row r="65" spans="1:19" x14ac:dyDescent="0.2">
      <c r="A65" s="262" t="s">
        <v>252</v>
      </c>
      <c r="B65" s="263"/>
      <c r="C65" s="224">
        <f>SUM(C61:C64)</f>
        <v>448</v>
      </c>
      <c r="D65" s="190"/>
      <c r="E65" s="190"/>
      <c r="F65" s="190"/>
      <c r="G65" s="190"/>
    </row>
    <row r="66" spans="1:19" ht="27.95" customHeight="1" x14ac:dyDescent="0.2">
      <c r="A66" s="272" t="s">
        <v>250</v>
      </c>
      <c r="B66" s="273"/>
      <c r="C66" s="274"/>
      <c r="D66" s="186">
        <f>D67</f>
        <v>12.59</v>
      </c>
      <c r="E66" s="186">
        <f t="shared" ref="E66:G66" si="5">E67</f>
        <v>10.31</v>
      </c>
      <c r="F66" s="186">
        <f t="shared" si="5"/>
        <v>72.650000000000006</v>
      </c>
      <c r="G66" s="186">
        <f t="shared" si="5"/>
        <v>450.77</v>
      </c>
    </row>
    <row r="67" spans="1:19" x14ac:dyDescent="0.2">
      <c r="A67" s="187"/>
      <c r="B67" s="188"/>
      <c r="C67" s="187"/>
      <c r="D67" s="186">
        <f>D68+D69+D70+D71</f>
        <v>12.59</v>
      </c>
      <c r="E67" s="186">
        <f>E68+E69+E70+E71</f>
        <v>10.31</v>
      </c>
      <c r="F67" s="186">
        <f>F68+F69+F70+F71</f>
        <v>72.650000000000006</v>
      </c>
      <c r="G67" s="186">
        <f>G68+G69+G70+G71</f>
        <v>450.77</v>
      </c>
    </row>
    <row r="68" spans="1:19" ht="17.25" customHeight="1" x14ac:dyDescent="0.2">
      <c r="A68" s="189" t="s">
        <v>179</v>
      </c>
      <c r="B68" s="182" t="s">
        <v>136</v>
      </c>
      <c r="C68" s="189">
        <v>5</v>
      </c>
      <c r="D68" s="190">
        <v>0.05</v>
      </c>
      <c r="E68" s="190">
        <v>3.63</v>
      </c>
      <c r="F68" s="190">
        <v>7.0000000000000007E-2</v>
      </c>
      <c r="G68" s="190">
        <v>33.11</v>
      </c>
    </row>
    <row r="69" spans="1:19" ht="25.5" x14ac:dyDescent="0.2">
      <c r="A69" s="189" t="s">
        <v>180</v>
      </c>
      <c r="B69" s="182" t="s">
        <v>208</v>
      </c>
      <c r="C69" s="189">
        <v>253</v>
      </c>
      <c r="D69" s="190">
        <v>9.5</v>
      </c>
      <c r="E69" s="190">
        <v>6.36</v>
      </c>
      <c r="F69" s="190">
        <v>42.9</v>
      </c>
      <c r="G69" s="190">
        <v>277.32</v>
      </c>
    </row>
    <row r="70" spans="1:19" x14ac:dyDescent="0.2">
      <c r="A70" s="189" t="s">
        <v>182</v>
      </c>
      <c r="B70" s="182" t="s">
        <v>10</v>
      </c>
      <c r="C70" s="206">
        <v>200</v>
      </c>
      <c r="D70" s="190">
        <v>0</v>
      </c>
      <c r="E70" s="190">
        <v>0</v>
      </c>
      <c r="F70" s="190">
        <v>10</v>
      </c>
      <c r="G70" s="190">
        <v>42</v>
      </c>
    </row>
    <row r="71" spans="1:19" x14ac:dyDescent="0.2">
      <c r="A71" s="196"/>
      <c r="B71" s="191" t="s">
        <v>11</v>
      </c>
      <c r="C71" s="196">
        <v>40</v>
      </c>
      <c r="D71" s="192">
        <v>3.04</v>
      </c>
      <c r="E71" s="192">
        <v>0.32</v>
      </c>
      <c r="F71" s="192">
        <v>19.68</v>
      </c>
      <c r="G71" s="192">
        <v>98.34</v>
      </c>
    </row>
    <row r="72" spans="1:19" x14ac:dyDescent="0.2">
      <c r="A72" s="262" t="s">
        <v>252</v>
      </c>
      <c r="B72" s="263"/>
      <c r="C72" s="224">
        <f>SUM(C68:C71)</f>
        <v>498</v>
      </c>
      <c r="D72" s="190"/>
      <c r="E72" s="190"/>
      <c r="F72" s="190"/>
      <c r="G72" s="190"/>
    </row>
    <row r="73" spans="1:19" ht="27.95" customHeight="1" x14ac:dyDescent="0.2">
      <c r="A73" s="272" t="s">
        <v>251</v>
      </c>
      <c r="B73" s="273"/>
      <c r="C73" s="274"/>
      <c r="D73" s="186">
        <f>D74</f>
        <v>11.85</v>
      </c>
      <c r="E73" s="186">
        <f>E74</f>
        <v>14.83</v>
      </c>
      <c r="F73" s="186">
        <f>F74</f>
        <v>73.22</v>
      </c>
      <c r="G73" s="186">
        <f>G74</f>
        <v>491.32</v>
      </c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2"/>
    </row>
    <row r="74" spans="1:19" x14ac:dyDescent="0.2">
      <c r="A74" s="187"/>
      <c r="B74" s="266"/>
      <c r="C74" s="266"/>
      <c r="D74" s="186">
        <f>D75+D76+D77+D78</f>
        <v>11.85</v>
      </c>
      <c r="E74" s="186">
        <f>E75+E76+E77+E78</f>
        <v>14.83</v>
      </c>
      <c r="F74" s="186">
        <f>F75+F76+F77+F78</f>
        <v>73.22</v>
      </c>
      <c r="G74" s="186">
        <f>G75+G76+G77+G78</f>
        <v>491.32</v>
      </c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2"/>
    </row>
    <row r="75" spans="1:19" x14ac:dyDescent="0.2">
      <c r="A75" s="189" t="s">
        <v>228</v>
      </c>
      <c r="B75" s="182" t="s">
        <v>151</v>
      </c>
      <c r="C75" s="189">
        <v>105</v>
      </c>
      <c r="D75" s="190">
        <v>6.14</v>
      </c>
      <c r="E75" s="190">
        <v>11.91</v>
      </c>
      <c r="F75" s="190">
        <v>10.92</v>
      </c>
      <c r="G75" s="190">
        <v>178.84</v>
      </c>
      <c r="H75" s="184"/>
      <c r="I75" s="197"/>
      <c r="J75" s="197"/>
      <c r="K75" s="197"/>
      <c r="L75" s="197"/>
      <c r="M75" s="197"/>
      <c r="N75" s="197"/>
      <c r="O75" s="197"/>
      <c r="P75" s="197"/>
      <c r="Q75" s="197"/>
      <c r="R75" s="197"/>
    </row>
    <row r="76" spans="1:19" x14ac:dyDescent="0.2">
      <c r="A76" s="196" t="s">
        <v>189</v>
      </c>
      <c r="B76" s="182" t="s">
        <v>159</v>
      </c>
      <c r="C76" s="189">
        <v>150</v>
      </c>
      <c r="D76" s="190">
        <v>3.81</v>
      </c>
      <c r="E76" s="190">
        <v>2.72</v>
      </c>
      <c r="F76" s="190">
        <v>40</v>
      </c>
      <c r="G76" s="190">
        <v>208.48</v>
      </c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</row>
    <row r="77" spans="1:19" x14ac:dyDescent="0.2">
      <c r="A77" s="189" t="s">
        <v>182</v>
      </c>
      <c r="B77" s="182" t="s">
        <v>10</v>
      </c>
      <c r="C77" s="206">
        <v>200</v>
      </c>
      <c r="D77" s="190">
        <v>0</v>
      </c>
      <c r="E77" s="190">
        <v>0</v>
      </c>
      <c r="F77" s="190">
        <v>10</v>
      </c>
      <c r="G77" s="190">
        <v>42</v>
      </c>
      <c r="H77" s="184"/>
      <c r="I77" s="184"/>
      <c r="J77" s="184"/>
      <c r="K77" s="184"/>
      <c r="L77" s="184"/>
      <c r="M77" s="184"/>
      <c r="N77" s="184"/>
      <c r="O77" s="197"/>
      <c r="P77" s="184"/>
      <c r="Q77" s="184"/>
      <c r="R77" s="197"/>
    </row>
    <row r="78" spans="1:19" x14ac:dyDescent="0.2">
      <c r="A78" s="196"/>
      <c r="B78" s="182" t="s">
        <v>11</v>
      </c>
      <c r="C78" s="221">
        <v>25</v>
      </c>
      <c r="D78" s="190">
        <f>1.52*1.25</f>
        <v>1.9</v>
      </c>
      <c r="E78" s="190">
        <f>0.16*1.25</f>
        <v>0.2</v>
      </c>
      <c r="F78" s="190">
        <f>9.84*1.25</f>
        <v>12.3</v>
      </c>
      <c r="G78" s="190">
        <v>62</v>
      </c>
      <c r="H78" s="184"/>
      <c r="I78" s="184"/>
      <c r="J78" s="184"/>
      <c r="K78" s="184"/>
      <c r="L78" s="184"/>
      <c r="M78" s="184"/>
      <c r="N78" s="184"/>
      <c r="O78" s="197"/>
      <c r="P78" s="184"/>
      <c r="Q78" s="184"/>
      <c r="R78" s="198"/>
    </row>
    <row r="79" spans="1:19" x14ac:dyDescent="0.2">
      <c r="A79" s="262" t="s">
        <v>252</v>
      </c>
      <c r="B79" s="263"/>
      <c r="C79" s="224">
        <f>SUM(C75:C78)</f>
        <v>480</v>
      </c>
      <c r="D79" s="190"/>
      <c r="E79" s="190"/>
      <c r="F79" s="190"/>
      <c r="G79" s="190"/>
      <c r="H79" s="204"/>
      <c r="I79" s="204"/>
      <c r="J79" s="204"/>
      <c r="K79" s="204"/>
      <c r="L79" s="204"/>
      <c r="M79" s="204"/>
      <c r="N79" s="204"/>
      <c r="O79" s="205"/>
      <c r="P79" s="204"/>
      <c r="Q79" s="204"/>
      <c r="R79" s="205"/>
    </row>
    <row r="80" spans="1:19" x14ac:dyDescent="0.2">
      <c r="A80" s="280" t="s">
        <v>265</v>
      </c>
      <c r="B80" s="281"/>
      <c r="C80" s="282"/>
      <c r="D80" s="232">
        <f>D81</f>
        <v>25.03</v>
      </c>
      <c r="E80" s="232">
        <f>E81</f>
        <v>20.69</v>
      </c>
      <c r="F80" s="232">
        <f>F81</f>
        <v>74.03</v>
      </c>
      <c r="G80" s="232">
        <f>G81</f>
        <v>602.64</v>
      </c>
    </row>
    <row r="81" spans="1:7" x14ac:dyDescent="0.2">
      <c r="A81" s="233"/>
      <c r="B81" s="269" t="s">
        <v>66</v>
      </c>
      <c r="C81" s="269"/>
      <c r="D81" s="232">
        <f>D82+D83+D84+D85</f>
        <v>25.03</v>
      </c>
      <c r="E81" s="232">
        <f t="shared" ref="E81:G81" si="6">E82+E83+E84+E85</f>
        <v>20.69</v>
      </c>
      <c r="F81" s="232">
        <f t="shared" si="6"/>
        <v>74.03</v>
      </c>
      <c r="G81" s="232">
        <f t="shared" si="6"/>
        <v>602.64</v>
      </c>
    </row>
    <row r="82" spans="1:7" x14ac:dyDescent="0.2">
      <c r="A82" s="235" t="s">
        <v>227</v>
      </c>
      <c r="B82" s="242" t="s">
        <v>154</v>
      </c>
      <c r="C82" s="235">
        <v>110</v>
      </c>
      <c r="D82" s="237">
        <v>5.73</v>
      </c>
      <c r="E82" s="237">
        <v>16.34</v>
      </c>
      <c r="F82" s="237">
        <v>10.38</v>
      </c>
      <c r="G82" s="237">
        <v>215</v>
      </c>
    </row>
    <row r="83" spans="1:7" x14ac:dyDescent="0.2">
      <c r="A83" s="238" t="s">
        <v>134</v>
      </c>
      <c r="B83" s="242" t="s">
        <v>155</v>
      </c>
      <c r="C83" s="235">
        <v>150</v>
      </c>
      <c r="D83" s="237">
        <v>16.260000000000002</v>
      </c>
      <c r="E83" s="237">
        <v>4.03</v>
      </c>
      <c r="F83" s="237">
        <v>33.97</v>
      </c>
      <c r="G83" s="237">
        <v>247.3</v>
      </c>
    </row>
    <row r="84" spans="1:7" x14ac:dyDescent="0.2">
      <c r="A84" s="235" t="s">
        <v>182</v>
      </c>
      <c r="B84" s="236" t="s">
        <v>10</v>
      </c>
      <c r="C84" s="239">
        <v>200</v>
      </c>
      <c r="D84" s="237">
        <v>0</v>
      </c>
      <c r="E84" s="237">
        <v>0</v>
      </c>
      <c r="F84" s="237">
        <v>10</v>
      </c>
      <c r="G84" s="237">
        <v>42</v>
      </c>
    </row>
    <row r="85" spans="1:7" x14ac:dyDescent="0.2">
      <c r="A85" s="238"/>
      <c r="B85" s="243" t="s">
        <v>11</v>
      </c>
      <c r="C85" s="238">
        <v>40</v>
      </c>
      <c r="D85" s="241">
        <v>3.04</v>
      </c>
      <c r="E85" s="241">
        <v>0.32</v>
      </c>
      <c r="F85" s="241">
        <v>19.68</v>
      </c>
      <c r="G85" s="241">
        <v>98.34</v>
      </c>
    </row>
    <row r="86" spans="1:7" x14ac:dyDescent="0.2">
      <c r="A86" s="270" t="s">
        <v>252</v>
      </c>
      <c r="B86" s="271"/>
      <c r="C86" s="240">
        <f>SUM(C82:C85)</f>
        <v>500</v>
      </c>
      <c r="D86" s="241"/>
      <c r="E86" s="241"/>
      <c r="F86" s="241"/>
      <c r="G86" s="241"/>
    </row>
    <row r="87" spans="1:7" x14ac:dyDescent="0.2">
      <c r="A87" s="280" t="s">
        <v>266</v>
      </c>
      <c r="B87" s="281"/>
      <c r="C87" s="282"/>
      <c r="D87" s="232">
        <f>D88</f>
        <v>14.302499999999998</v>
      </c>
      <c r="E87" s="232">
        <f>E88</f>
        <v>8.3674999999999997</v>
      </c>
      <c r="F87" s="232">
        <f>F88</f>
        <v>86.497500000000002</v>
      </c>
      <c r="G87" s="232">
        <f>G88</f>
        <v>499.25</v>
      </c>
    </row>
    <row r="88" spans="1:7" x14ac:dyDescent="0.2">
      <c r="A88" s="233"/>
      <c r="B88" s="269"/>
      <c r="C88" s="269"/>
      <c r="D88" s="232">
        <f>D89+D90+D91+D92</f>
        <v>14.302499999999998</v>
      </c>
      <c r="E88" s="232">
        <f>E89+E90+E91+E92</f>
        <v>8.3674999999999997</v>
      </c>
      <c r="F88" s="232">
        <f>F89+F90+F91+F92</f>
        <v>86.497500000000002</v>
      </c>
      <c r="G88" s="232">
        <f>G89+G90+G91+G92</f>
        <v>499.25</v>
      </c>
    </row>
    <row r="89" spans="1:7" ht="25.5" x14ac:dyDescent="0.2">
      <c r="A89" s="235" t="s">
        <v>180</v>
      </c>
      <c r="B89" s="236" t="s">
        <v>206</v>
      </c>
      <c r="C89" s="235">
        <v>253</v>
      </c>
      <c r="D89" s="237">
        <f>7.81*1.25</f>
        <v>9.7624999999999993</v>
      </c>
      <c r="E89" s="237">
        <f>4.55*1.25</f>
        <v>5.6875</v>
      </c>
      <c r="F89" s="237">
        <f>33.47*1.25</f>
        <v>41.837499999999999</v>
      </c>
      <c r="G89" s="237">
        <v>267.91000000000003</v>
      </c>
    </row>
    <row r="90" spans="1:7" x14ac:dyDescent="0.2">
      <c r="A90" s="238"/>
      <c r="B90" s="236" t="s">
        <v>62</v>
      </c>
      <c r="C90" s="235">
        <v>20</v>
      </c>
      <c r="D90" s="237">
        <v>1.5</v>
      </c>
      <c r="E90" s="237">
        <v>2.36</v>
      </c>
      <c r="F90" s="237">
        <v>14.98</v>
      </c>
      <c r="G90" s="237">
        <v>91</v>
      </c>
    </row>
    <row r="91" spans="1:7" x14ac:dyDescent="0.2">
      <c r="A91" s="238" t="s">
        <v>182</v>
      </c>
      <c r="B91" s="236" t="s">
        <v>10</v>
      </c>
      <c r="C91" s="235">
        <v>200</v>
      </c>
      <c r="D91" s="237">
        <v>0</v>
      </c>
      <c r="E91" s="237">
        <v>0</v>
      </c>
      <c r="F91" s="237">
        <v>10</v>
      </c>
      <c r="G91" s="237">
        <v>42</v>
      </c>
    </row>
    <row r="92" spans="1:7" x14ac:dyDescent="0.2">
      <c r="A92" s="235"/>
      <c r="B92" s="236" t="s">
        <v>11</v>
      </c>
      <c r="C92" s="235">
        <v>40</v>
      </c>
      <c r="D92" s="237">
        <v>3.04</v>
      </c>
      <c r="E92" s="237">
        <v>0.32</v>
      </c>
      <c r="F92" s="237">
        <v>19.68</v>
      </c>
      <c r="G92" s="237">
        <v>98.34</v>
      </c>
    </row>
    <row r="93" spans="1:7" x14ac:dyDescent="0.2">
      <c r="A93" s="270" t="s">
        <v>252</v>
      </c>
      <c r="B93" s="271"/>
      <c r="C93" s="233">
        <f>SUM(C89:C92)</f>
        <v>513</v>
      </c>
      <c r="D93" s="237"/>
      <c r="E93" s="237"/>
      <c r="F93" s="237"/>
      <c r="G93" s="237"/>
    </row>
    <row r="94" spans="1:7" x14ac:dyDescent="0.2">
      <c r="A94" s="280" t="s">
        <v>267</v>
      </c>
      <c r="B94" s="281"/>
      <c r="C94" s="282"/>
      <c r="D94" s="232">
        <f>D95</f>
        <v>11.89</v>
      </c>
      <c r="E94" s="232">
        <f>E95</f>
        <v>16.099999999999998</v>
      </c>
      <c r="F94" s="232">
        <f>F95</f>
        <v>67.860000000000014</v>
      </c>
      <c r="G94" s="232">
        <f>G95</f>
        <v>480.08000000000004</v>
      </c>
    </row>
    <row r="95" spans="1:7" x14ac:dyDescent="0.2">
      <c r="A95" s="233"/>
      <c r="B95" s="269"/>
      <c r="C95" s="269"/>
      <c r="D95" s="232">
        <f>D96+D97+D98+D99</f>
        <v>11.89</v>
      </c>
      <c r="E95" s="232">
        <f t="shared" ref="E95:F95" si="7">E96+E97+E98+E99</f>
        <v>16.099999999999998</v>
      </c>
      <c r="F95" s="232">
        <f t="shared" si="7"/>
        <v>67.860000000000014</v>
      </c>
      <c r="G95" s="232">
        <f>G96+G97+G98+G99</f>
        <v>480.08000000000004</v>
      </c>
    </row>
    <row r="96" spans="1:7" x14ac:dyDescent="0.2">
      <c r="A96" s="235" t="s">
        <v>179</v>
      </c>
      <c r="B96" s="236" t="s">
        <v>136</v>
      </c>
      <c r="C96" s="235">
        <v>5</v>
      </c>
      <c r="D96" s="237">
        <v>0.05</v>
      </c>
      <c r="E96" s="237">
        <v>3.63</v>
      </c>
      <c r="F96" s="237">
        <v>7.0000000000000007E-2</v>
      </c>
      <c r="G96" s="237">
        <v>33.11</v>
      </c>
    </row>
    <row r="97" spans="1:7" ht="25.5" x14ac:dyDescent="0.2">
      <c r="A97" s="235" t="s">
        <v>180</v>
      </c>
      <c r="B97" s="236" t="s">
        <v>203</v>
      </c>
      <c r="C97" s="235">
        <v>205</v>
      </c>
      <c r="D97" s="237">
        <v>6.81</v>
      </c>
      <c r="E97" s="237">
        <v>10.45</v>
      </c>
      <c r="F97" s="237">
        <v>29.51</v>
      </c>
      <c r="G97" s="237">
        <v>246.6</v>
      </c>
    </row>
    <row r="98" spans="1:7" x14ac:dyDescent="0.2">
      <c r="A98" s="235" t="s">
        <v>183</v>
      </c>
      <c r="B98" s="236" t="s">
        <v>51</v>
      </c>
      <c r="C98" s="235">
        <v>200</v>
      </c>
      <c r="D98" s="237">
        <v>1.99</v>
      </c>
      <c r="E98" s="237">
        <v>1.7</v>
      </c>
      <c r="F98" s="237">
        <v>18.600000000000001</v>
      </c>
      <c r="G98" s="237">
        <v>102.03</v>
      </c>
    </row>
    <row r="99" spans="1:7" x14ac:dyDescent="0.2">
      <c r="A99" s="235"/>
      <c r="B99" s="236" t="s">
        <v>11</v>
      </c>
      <c r="C99" s="235">
        <v>40</v>
      </c>
      <c r="D99" s="237">
        <v>3.04</v>
      </c>
      <c r="E99" s="237">
        <v>0.32</v>
      </c>
      <c r="F99" s="237">
        <v>19.68</v>
      </c>
      <c r="G99" s="237">
        <v>98.34</v>
      </c>
    </row>
    <row r="100" spans="1:7" x14ac:dyDescent="0.2">
      <c r="A100" s="270" t="s">
        <v>252</v>
      </c>
      <c r="B100" s="271"/>
      <c r="C100" s="233">
        <f>SUM(C96:C99)</f>
        <v>450</v>
      </c>
      <c r="D100" s="237"/>
      <c r="E100" s="237"/>
      <c r="F100" s="237"/>
      <c r="G100" s="237"/>
    </row>
    <row r="101" spans="1:7" x14ac:dyDescent="0.2">
      <c r="A101" s="280" t="s">
        <v>278</v>
      </c>
      <c r="B101" s="281"/>
      <c r="C101" s="282"/>
      <c r="D101" s="232">
        <f>D102</f>
        <v>13.69</v>
      </c>
      <c r="E101" s="232">
        <f>E102</f>
        <v>8.1999999999999993</v>
      </c>
      <c r="F101" s="232">
        <f>F102</f>
        <v>92.210000000000008</v>
      </c>
      <c r="G101" s="232">
        <f>G102</f>
        <v>518.6</v>
      </c>
    </row>
    <row r="102" spans="1:7" x14ac:dyDescent="0.2">
      <c r="A102" s="233"/>
      <c r="B102" s="234"/>
      <c r="C102" s="233"/>
      <c r="D102" s="232">
        <f>D103+D104+D105+D106</f>
        <v>13.69</v>
      </c>
      <c r="E102" s="232">
        <f t="shared" ref="E102:F102" si="8">E103+E104+E105+E106</f>
        <v>8.1999999999999993</v>
      </c>
      <c r="F102" s="232">
        <f t="shared" si="8"/>
        <v>92.210000000000008</v>
      </c>
      <c r="G102" s="232">
        <f>G103+G104+G105+G106</f>
        <v>518.6</v>
      </c>
    </row>
    <row r="103" spans="1:7" x14ac:dyDescent="0.2">
      <c r="A103" s="238" t="s">
        <v>199</v>
      </c>
      <c r="B103" s="236" t="s">
        <v>196</v>
      </c>
      <c r="C103" s="235">
        <v>60</v>
      </c>
      <c r="D103" s="237">
        <v>4.91</v>
      </c>
      <c r="E103" s="237">
        <v>3.79</v>
      </c>
      <c r="F103" s="237">
        <v>36.090000000000003</v>
      </c>
      <c r="G103" s="237">
        <v>206.31</v>
      </c>
    </row>
    <row r="104" spans="1:7" ht="25.5" x14ac:dyDescent="0.2">
      <c r="A104" s="235" t="s">
        <v>180</v>
      </c>
      <c r="B104" s="236" t="s">
        <v>207</v>
      </c>
      <c r="C104" s="235">
        <v>203</v>
      </c>
      <c r="D104" s="237">
        <v>7.26</v>
      </c>
      <c r="E104" s="237">
        <v>4.25</v>
      </c>
      <c r="F104" s="237">
        <v>36.28</v>
      </c>
      <c r="G104" s="237">
        <v>221.12</v>
      </c>
    </row>
    <row r="105" spans="1:7" x14ac:dyDescent="0.2">
      <c r="A105" s="238" t="s">
        <v>182</v>
      </c>
      <c r="B105" s="243" t="s">
        <v>10</v>
      </c>
      <c r="C105" s="235">
        <v>200</v>
      </c>
      <c r="D105" s="237">
        <v>0</v>
      </c>
      <c r="E105" s="237">
        <v>0</v>
      </c>
      <c r="F105" s="237">
        <v>10</v>
      </c>
      <c r="G105" s="237">
        <v>42</v>
      </c>
    </row>
    <row r="106" spans="1:7" x14ac:dyDescent="0.2">
      <c r="A106" s="239"/>
      <c r="B106" s="236" t="s">
        <v>11</v>
      </c>
      <c r="C106" s="235">
        <v>20</v>
      </c>
      <c r="D106" s="237">
        <v>1.52</v>
      </c>
      <c r="E106" s="237">
        <v>0.16</v>
      </c>
      <c r="F106" s="237">
        <v>9.84</v>
      </c>
      <c r="G106" s="237">
        <v>49.17</v>
      </c>
    </row>
    <row r="107" spans="1:7" x14ac:dyDescent="0.2">
      <c r="A107" s="270" t="s">
        <v>252</v>
      </c>
      <c r="B107" s="271"/>
      <c r="C107" s="233">
        <f>SUM(C103:C106)</f>
        <v>483</v>
      </c>
      <c r="D107" s="237"/>
      <c r="E107" s="237"/>
      <c r="F107" s="237"/>
      <c r="G107" s="237"/>
    </row>
    <row r="108" spans="1:7" x14ac:dyDescent="0.2">
      <c r="A108" s="280" t="s">
        <v>279</v>
      </c>
      <c r="B108" s="281"/>
      <c r="C108" s="282"/>
      <c r="D108" s="232">
        <f>D109</f>
        <v>13.36</v>
      </c>
      <c r="E108" s="232">
        <f>E109</f>
        <v>9.3800000000000008</v>
      </c>
      <c r="F108" s="232">
        <f>F109</f>
        <v>79.290000000000006</v>
      </c>
      <c r="G108" s="232">
        <f>G109</f>
        <v>473.57</v>
      </c>
    </row>
    <row r="109" spans="1:7" x14ac:dyDescent="0.2">
      <c r="A109" s="233"/>
      <c r="B109" s="234"/>
      <c r="C109" s="233"/>
      <c r="D109" s="232">
        <f>D110+D111+D112+D113</f>
        <v>13.36</v>
      </c>
      <c r="E109" s="232">
        <f t="shared" ref="E109:F109" si="9">E110+E111+E112+E113</f>
        <v>9.3800000000000008</v>
      </c>
      <c r="F109" s="232">
        <f t="shared" si="9"/>
        <v>79.290000000000006</v>
      </c>
      <c r="G109" s="232">
        <f>G110+G111+G112+G113</f>
        <v>473.57</v>
      </c>
    </row>
    <row r="110" spans="1:7" x14ac:dyDescent="0.2">
      <c r="A110" s="235" t="s">
        <v>200</v>
      </c>
      <c r="B110" s="236" t="s">
        <v>197</v>
      </c>
      <c r="C110" s="235">
        <v>203</v>
      </c>
      <c r="D110" s="237">
        <v>11.44</v>
      </c>
      <c r="E110" s="237">
        <v>9.2200000000000006</v>
      </c>
      <c r="F110" s="237">
        <v>49.65</v>
      </c>
      <c r="G110" s="237">
        <v>339.56</v>
      </c>
    </row>
    <row r="111" spans="1:7" x14ac:dyDescent="0.2">
      <c r="A111" s="235"/>
      <c r="B111" s="236" t="s">
        <v>41</v>
      </c>
      <c r="C111" s="235">
        <v>100</v>
      </c>
      <c r="D111" s="237">
        <v>0.4</v>
      </c>
      <c r="E111" s="237">
        <v>0</v>
      </c>
      <c r="F111" s="237">
        <v>9.8000000000000007</v>
      </c>
      <c r="G111" s="237">
        <v>42.84</v>
      </c>
    </row>
    <row r="112" spans="1:7" x14ac:dyDescent="0.2">
      <c r="A112" s="238" t="s">
        <v>182</v>
      </c>
      <c r="B112" s="243" t="s">
        <v>10</v>
      </c>
      <c r="C112" s="235">
        <v>200</v>
      </c>
      <c r="D112" s="237">
        <v>0</v>
      </c>
      <c r="E112" s="237">
        <v>0</v>
      </c>
      <c r="F112" s="237">
        <v>10</v>
      </c>
      <c r="G112" s="237">
        <v>42</v>
      </c>
    </row>
    <row r="113" spans="1:7" x14ac:dyDescent="0.2">
      <c r="A113" s="239"/>
      <c r="B113" s="236" t="s">
        <v>11</v>
      </c>
      <c r="C113" s="235">
        <v>20</v>
      </c>
      <c r="D113" s="237">
        <v>1.52</v>
      </c>
      <c r="E113" s="237">
        <v>0.16</v>
      </c>
      <c r="F113" s="237">
        <v>9.84</v>
      </c>
      <c r="G113" s="237">
        <v>49.17</v>
      </c>
    </row>
    <row r="114" spans="1:7" x14ac:dyDescent="0.2">
      <c r="A114" s="270" t="s">
        <v>252</v>
      </c>
      <c r="B114" s="271"/>
      <c r="C114" s="233">
        <f>SUM(C110:C113)</f>
        <v>523</v>
      </c>
      <c r="D114" s="237"/>
      <c r="E114" s="237"/>
      <c r="F114" s="237"/>
      <c r="G114" s="237"/>
    </row>
    <row r="115" spans="1:7" x14ac:dyDescent="0.2">
      <c r="A115" s="280" t="s">
        <v>280</v>
      </c>
      <c r="B115" s="281"/>
      <c r="C115" s="282"/>
      <c r="D115" s="232">
        <f>D116</f>
        <v>16.809999999999999</v>
      </c>
      <c r="E115" s="232">
        <f t="shared" ref="E115:G115" si="10">E116</f>
        <v>17.3</v>
      </c>
      <c r="F115" s="232">
        <f t="shared" si="10"/>
        <v>72.850000000000009</v>
      </c>
      <c r="G115" s="232">
        <f t="shared" si="10"/>
        <v>532.84</v>
      </c>
    </row>
    <row r="116" spans="1:7" x14ac:dyDescent="0.2">
      <c r="A116" s="233"/>
      <c r="B116" s="234"/>
      <c r="C116" s="233"/>
      <c r="D116" s="232">
        <f>D117+D118+D119+D120</f>
        <v>16.809999999999999</v>
      </c>
      <c r="E116" s="232">
        <f>E117+E118+E119+E120</f>
        <v>17.3</v>
      </c>
      <c r="F116" s="232">
        <f>F117+F118+F119+F120</f>
        <v>72.850000000000009</v>
      </c>
      <c r="G116" s="232">
        <f>G117+G118+G119+G120</f>
        <v>532.84</v>
      </c>
    </row>
    <row r="117" spans="1:7" x14ac:dyDescent="0.2">
      <c r="A117" s="235" t="s">
        <v>228</v>
      </c>
      <c r="B117" s="236" t="s">
        <v>151</v>
      </c>
      <c r="C117" s="235">
        <v>105</v>
      </c>
      <c r="D117" s="237">
        <v>6.14</v>
      </c>
      <c r="E117" s="237">
        <v>11.91</v>
      </c>
      <c r="F117" s="237">
        <v>10.92</v>
      </c>
      <c r="G117" s="237">
        <v>178.84</v>
      </c>
    </row>
    <row r="118" spans="1:7" x14ac:dyDescent="0.2">
      <c r="A118" s="238" t="s">
        <v>38</v>
      </c>
      <c r="B118" s="242" t="s">
        <v>36</v>
      </c>
      <c r="C118" s="235">
        <v>150</v>
      </c>
      <c r="D118" s="237">
        <v>8.77</v>
      </c>
      <c r="E118" s="237">
        <v>5.19</v>
      </c>
      <c r="F118" s="237">
        <v>39.630000000000003</v>
      </c>
      <c r="G118" s="237">
        <v>250</v>
      </c>
    </row>
    <row r="119" spans="1:7" x14ac:dyDescent="0.2">
      <c r="A119" s="235" t="s">
        <v>182</v>
      </c>
      <c r="B119" s="236" t="s">
        <v>10</v>
      </c>
      <c r="C119" s="235">
        <v>200</v>
      </c>
      <c r="D119" s="237">
        <v>0</v>
      </c>
      <c r="E119" s="237">
        <v>0</v>
      </c>
      <c r="F119" s="237">
        <v>10</v>
      </c>
      <c r="G119" s="237">
        <v>42</v>
      </c>
    </row>
    <row r="120" spans="1:7" x14ac:dyDescent="0.2">
      <c r="A120" s="238"/>
      <c r="B120" s="236" t="s">
        <v>11</v>
      </c>
      <c r="C120" s="244">
        <v>25</v>
      </c>
      <c r="D120" s="237">
        <f>1.52*1.25</f>
        <v>1.9</v>
      </c>
      <c r="E120" s="237">
        <f>0.16*1.25</f>
        <v>0.2</v>
      </c>
      <c r="F120" s="237">
        <f>9.84*1.25</f>
        <v>12.3</v>
      </c>
      <c r="G120" s="237">
        <v>62</v>
      </c>
    </row>
    <row r="121" spans="1:7" x14ac:dyDescent="0.2">
      <c r="A121" s="270" t="s">
        <v>252</v>
      </c>
      <c r="B121" s="271"/>
      <c r="C121" s="240">
        <f>SUM(C117:C120)</f>
        <v>480</v>
      </c>
      <c r="D121" s="241"/>
      <c r="E121" s="241"/>
      <c r="F121" s="241"/>
      <c r="G121" s="241"/>
    </row>
    <row r="122" spans="1:7" x14ac:dyDescent="0.2">
      <c r="A122" s="269" t="s">
        <v>281</v>
      </c>
      <c r="B122" s="269"/>
      <c r="C122" s="269"/>
      <c r="D122" s="232">
        <f>D123</f>
        <v>13.5825</v>
      </c>
      <c r="E122" s="232">
        <f t="shared" ref="E122:G122" si="11">E123</f>
        <v>12.127500000000001</v>
      </c>
      <c r="F122" s="232">
        <f t="shared" si="11"/>
        <v>84.017500000000013</v>
      </c>
      <c r="G122" s="232">
        <f t="shared" si="11"/>
        <v>519.11</v>
      </c>
    </row>
    <row r="123" spans="1:7" x14ac:dyDescent="0.2">
      <c r="A123" s="233"/>
      <c r="B123" s="269"/>
      <c r="C123" s="269"/>
      <c r="D123" s="232">
        <f>D124+D125+D126+D127</f>
        <v>13.5825</v>
      </c>
      <c r="E123" s="232">
        <f>E124+E125+E126+E127</f>
        <v>12.127500000000001</v>
      </c>
      <c r="F123" s="232">
        <f>F124+F125+F126+F127</f>
        <v>84.017500000000013</v>
      </c>
      <c r="G123" s="232">
        <f>G124+G125+G126+G127</f>
        <v>519.11</v>
      </c>
    </row>
    <row r="124" spans="1:7" ht="25.5" x14ac:dyDescent="0.2">
      <c r="A124" s="235" t="s">
        <v>180</v>
      </c>
      <c r="B124" s="236" t="s">
        <v>206</v>
      </c>
      <c r="C124" s="235">
        <v>253</v>
      </c>
      <c r="D124" s="237">
        <f>7.81*1.25</f>
        <v>9.7624999999999993</v>
      </c>
      <c r="E124" s="237">
        <f>4.55*1.25</f>
        <v>5.6875</v>
      </c>
      <c r="F124" s="237">
        <f>33.47*1.25</f>
        <v>41.837499999999999</v>
      </c>
      <c r="G124" s="237">
        <v>267.91000000000003</v>
      </c>
    </row>
    <row r="125" spans="1:7" x14ac:dyDescent="0.2">
      <c r="A125" s="235"/>
      <c r="B125" s="236" t="s">
        <v>201</v>
      </c>
      <c r="C125" s="244">
        <v>20</v>
      </c>
      <c r="D125" s="237">
        <v>0.78</v>
      </c>
      <c r="E125" s="237">
        <v>6.12</v>
      </c>
      <c r="F125" s="237">
        <v>12.5</v>
      </c>
      <c r="G125" s="237">
        <v>110.86</v>
      </c>
    </row>
    <row r="126" spans="1:7" x14ac:dyDescent="0.2">
      <c r="A126" s="235" t="s">
        <v>182</v>
      </c>
      <c r="B126" s="236" t="s">
        <v>10</v>
      </c>
      <c r="C126" s="235">
        <v>200</v>
      </c>
      <c r="D126" s="237">
        <v>0</v>
      </c>
      <c r="E126" s="237">
        <v>0</v>
      </c>
      <c r="F126" s="237">
        <v>10</v>
      </c>
      <c r="G126" s="237">
        <v>42</v>
      </c>
    </row>
    <row r="127" spans="1:7" x14ac:dyDescent="0.2">
      <c r="A127" s="238"/>
      <c r="B127" s="243" t="s">
        <v>11</v>
      </c>
      <c r="C127" s="238">
        <v>40</v>
      </c>
      <c r="D127" s="241">
        <v>3.04</v>
      </c>
      <c r="E127" s="241">
        <v>0.32</v>
      </c>
      <c r="F127" s="241">
        <v>19.68</v>
      </c>
      <c r="G127" s="241">
        <v>98.34</v>
      </c>
    </row>
    <row r="128" spans="1:7" x14ac:dyDescent="0.2">
      <c r="A128" s="270" t="s">
        <v>252</v>
      </c>
      <c r="B128" s="271"/>
      <c r="C128" s="240">
        <f>SUM(C124:C127)</f>
        <v>513</v>
      </c>
      <c r="D128" s="241"/>
      <c r="E128" s="241"/>
      <c r="F128" s="241"/>
      <c r="G128" s="241"/>
    </row>
    <row r="129" spans="1:7" x14ac:dyDescent="0.2">
      <c r="A129" s="280" t="s">
        <v>282</v>
      </c>
      <c r="B129" s="281"/>
      <c r="C129" s="282"/>
      <c r="D129" s="232">
        <f>D130</f>
        <v>11.29</v>
      </c>
      <c r="E129" s="232">
        <f>E130</f>
        <v>14.149999999999999</v>
      </c>
      <c r="F129" s="232">
        <f>F130</f>
        <v>79.77000000000001</v>
      </c>
      <c r="G129" s="232">
        <f>G130</f>
        <v>509.77</v>
      </c>
    </row>
    <row r="130" spans="1:7" x14ac:dyDescent="0.2">
      <c r="A130" s="233"/>
      <c r="B130" s="269"/>
      <c r="C130" s="269"/>
      <c r="D130" s="232">
        <f>D131+D132+D133+D134</f>
        <v>11.29</v>
      </c>
      <c r="E130" s="232">
        <f t="shared" ref="E130:G130" si="12">E131+E132+E133+E134</f>
        <v>14.149999999999999</v>
      </c>
      <c r="F130" s="232">
        <f t="shared" si="12"/>
        <v>79.77000000000001</v>
      </c>
      <c r="G130" s="232">
        <f t="shared" si="12"/>
        <v>509.77</v>
      </c>
    </row>
    <row r="131" spans="1:7" x14ac:dyDescent="0.2">
      <c r="A131" s="235" t="s">
        <v>179</v>
      </c>
      <c r="B131" s="236" t="s">
        <v>136</v>
      </c>
      <c r="C131" s="235">
        <v>5</v>
      </c>
      <c r="D131" s="237">
        <v>0.05</v>
      </c>
      <c r="E131" s="237">
        <v>3.63</v>
      </c>
      <c r="F131" s="237">
        <v>7.0000000000000007E-2</v>
      </c>
      <c r="G131" s="237">
        <v>33.11</v>
      </c>
    </row>
    <row r="132" spans="1:7" ht="25.5" x14ac:dyDescent="0.2">
      <c r="A132" s="235" t="s">
        <v>180</v>
      </c>
      <c r="B132" s="236" t="s">
        <v>205</v>
      </c>
      <c r="C132" s="235">
        <v>203</v>
      </c>
      <c r="D132" s="237">
        <v>8.1999999999999993</v>
      </c>
      <c r="E132" s="237">
        <v>10.199999999999999</v>
      </c>
      <c r="F132" s="237">
        <v>50.02</v>
      </c>
      <c r="G132" s="237">
        <v>336.32</v>
      </c>
    </row>
    <row r="133" spans="1:7" x14ac:dyDescent="0.2">
      <c r="A133" s="235" t="s">
        <v>182</v>
      </c>
      <c r="B133" s="236" t="s">
        <v>10</v>
      </c>
      <c r="C133" s="235">
        <v>200</v>
      </c>
      <c r="D133" s="237">
        <v>0</v>
      </c>
      <c r="E133" s="237">
        <v>0</v>
      </c>
      <c r="F133" s="237">
        <v>10</v>
      </c>
      <c r="G133" s="237">
        <v>42</v>
      </c>
    </row>
    <row r="134" spans="1:7" x14ac:dyDescent="0.2">
      <c r="A134" s="239"/>
      <c r="B134" s="236" t="s">
        <v>11</v>
      </c>
      <c r="C134" s="235">
        <v>40</v>
      </c>
      <c r="D134" s="237">
        <v>3.04</v>
      </c>
      <c r="E134" s="237">
        <v>0.32</v>
      </c>
      <c r="F134" s="237">
        <v>19.68</v>
      </c>
      <c r="G134" s="237">
        <v>98.34</v>
      </c>
    </row>
    <row r="135" spans="1:7" x14ac:dyDescent="0.2">
      <c r="A135" s="270" t="s">
        <v>252</v>
      </c>
      <c r="B135" s="271"/>
      <c r="C135" s="240">
        <f>SUM(C131:C134)</f>
        <v>448</v>
      </c>
      <c r="D135" s="241"/>
      <c r="E135" s="241"/>
      <c r="F135" s="241"/>
      <c r="G135" s="241"/>
    </row>
    <row r="136" spans="1:7" x14ac:dyDescent="0.2">
      <c r="A136" s="280" t="s">
        <v>285</v>
      </c>
      <c r="B136" s="281"/>
      <c r="C136" s="282"/>
      <c r="D136" s="232">
        <f>D137</f>
        <v>12.95</v>
      </c>
      <c r="E136" s="232">
        <f t="shared" ref="E136:G136" si="13">E137</f>
        <v>8.11</v>
      </c>
      <c r="F136" s="232">
        <f t="shared" si="13"/>
        <v>99.77000000000001</v>
      </c>
      <c r="G136" s="232">
        <f t="shared" si="13"/>
        <v>538.65</v>
      </c>
    </row>
    <row r="137" spans="1:7" x14ac:dyDescent="0.2">
      <c r="A137" s="233"/>
      <c r="B137" s="234"/>
      <c r="C137" s="233"/>
      <c r="D137" s="232">
        <f>D138+D139+D140+D141</f>
        <v>12.95</v>
      </c>
      <c r="E137" s="232">
        <f t="shared" ref="E137:G137" si="14">E138+E139+E140+E141</f>
        <v>8.11</v>
      </c>
      <c r="F137" s="232">
        <f t="shared" si="14"/>
        <v>99.77000000000001</v>
      </c>
      <c r="G137" s="232">
        <f t="shared" si="14"/>
        <v>538.65</v>
      </c>
    </row>
    <row r="138" spans="1:7" x14ac:dyDescent="0.2">
      <c r="A138" s="238" t="s">
        <v>199</v>
      </c>
      <c r="B138" s="236" t="s">
        <v>196</v>
      </c>
      <c r="C138" s="235">
        <v>60</v>
      </c>
      <c r="D138" s="237">
        <v>4.91</v>
      </c>
      <c r="E138" s="237">
        <v>3.79</v>
      </c>
      <c r="F138" s="237">
        <v>36.090000000000003</v>
      </c>
      <c r="G138" s="237">
        <v>206.31</v>
      </c>
    </row>
    <row r="139" spans="1:7" ht="25.5" x14ac:dyDescent="0.2">
      <c r="A139" s="235" t="s">
        <v>180</v>
      </c>
      <c r="B139" s="236" t="s">
        <v>301</v>
      </c>
      <c r="C139" s="235">
        <v>203</v>
      </c>
      <c r="D139" s="237">
        <v>5</v>
      </c>
      <c r="E139" s="237">
        <v>4</v>
      </c>
      <c r="F139" s="237">
        <v>34</v>
      </c>
      <c r="G139" s="237">
        <v>192</v>
      </c>
    </row>
    <row r="140" spans="1:7" x14ac:dyDescent="0.2">
      <c r="A140" s="235" t="s">
        <v>182</v>
      </c>
      <c r="B140" s="236" t="s">
        <v>10</v>
      </c>
      <c r="C140" s="239">
        <v>200</v>
      </c>
      <c r="D140" s="237">
        <v>0</v>
      </c>
      <c r="E140" s="237">
        <v>0</v>
      </c>
      <c r="F140" s="237">
        <v>10</v>
      </c>
      <c r="G140" s="237">
        <v>42</v>
      </c>
    </row>
    <row r="141" spans="1:7" x14ac:dyDescent="0.2">
      <c r="A141" s="238"/>
      <c r="B141" s="243" t="s">
        <v>11</v>
      </c>
      <c r="C141" s="238">
        <v>40</v>
      </c>
      <c r="D141" s="241">
        <v>3.04</v>
      </c>
      <c r="E141" s="241">
        <v>0.32</v>
      </c>
      <c r="F141" s="241">
        <v>19.68</v>
      </c>
      <c r="G141" s="241">
        <v>98.34</v>
      </c>
    </row>
    <row r="142" spans="1:7" x14ac:dyDescent="0.2">
      <c r="A142" s="270" t="s">
        <v>252</v>
      </c>
      <c r="B142" s="271"/>
      <c r="C142" s="257">
        <f>SUM(C138:C141)</f>
        <v>503</v>
      </c>
      <c r="D142" s="237"/>
      <c r="E142" s="237"/>
      <c r="F142" s="237"/>
      <c r="G142" s="237"/>
    </row>
    <row r="143" spans="1:7" x14ac:dyDescent="0.2">
      <c r="A143" s="280" t="s">
        <v>286</v>
      </c>
      <c r="B143" s="281"/>
      <c r="C143" s="282"/>
      <c r="D143" s="232">
        <f>D144</f>
        <v>13.36</v>
      </c>
      <c r="E143" s="232">
        <f>E144</f>
        <v>9.3800000000000008</v>
      </c>
      <c r="F143" s="232">
        <f>F144</f>
        <v>79.290000000000006</v>
      </c>
      <c r="G143" s="232">
        <f>G144</f>
        <v>473.57</v>
      </c>
    </row>
    <row r="144" spans="1:7" x14ac:dyDescent="0.2">
      <c r="A144" s="233"/>
      <c r="B144" s="269"/>
      <c r="C144" s="269"/>
      <c r="D144" s="232">
        <f>D145+D146+D147+D148</f>
        <v>13.36</v>
      </c>
      <c r="E144" s="232">
        <f>E145+E146+E147+E148</f>
        <v>9.3800000000000008</v>
      </c>
      <c r="F144" s="232">
        <f>F145+F146+F147+F148</f>
        <v>79.290000000000006</v>
      </c>
      <c r="G144" s="232">
        <f>G145+G146+G147+G148</f>
        <v>473.57</v>
      </c>
    </row>
    <row r="145" spans="1:7" x14ac:dyDescent="0.2">
      <c r="A145" s="235" t="s">
        <v>200</v>
      </c>
      <c r="B145" s="236" t="s">
        <v>197</v>
      </c>
      <c r="C145" s="235">
        <v>203</v>
      </c>
      <c r="D145" s="237">
        <v>11.44</v>
      </c>
      <c r="E145" s="237">
        <v>9.2200000000000006</v>
      </c>
      <c r="F145" s="237">
        <v>49.65</v>
      </c>
      <c r="G145" s="237">
        <v>339.56</v>
      </c>
    </row>
    <row r="146" spans="1:7" x14ac:dyDescent="0.2">
      <c r="A146" s="235"/>
      <c r="B146" s="236" t="s">
        <v>41</v>
      </c>
      <c r="C146" s="235">
        <v>100</v>
      </c>
      <c r="D146" s="237">
        <v>0.4</v>
      </c>
      <c r="E146" s="237">
        <v>0</v>
      </c>
      <c r="F146" s="237">
        <v>9.8000000000000007</v>
      </c>
      <c r="G146" s="237">
        <v>42.84</v>
      </c>
    </row>
    <row r="147" spans="1:7" x14ac:dyDescent="0.2">
      <c r="A147" s="238" t="s">
        <v>182</v>
      </c>
      <c r="B147" s="243" t="s">
        <v>10</v>
      </c>
      <c r="C147" s="235">
        <v>200</v>
      </c>
      <c r="D147" s="237">
        <v>0</v>
      </c>
      <c r="E147" s="237">
        <v>0</v>
      </c>
      <c r="F147" s="237">
        <v>10</v>
      </c>
      <c r="G147" s="237">
        <v>42</v>
      </c>
    </row>
    <row r="148" spans="1:7" x14ac:dyDescent="0.2">
      <c r="A148" s="239"/>
      <c r="B148" s="236" t="s">
        <v>11</v>
      </c>
      <c r="C148" s="235">
        <v>20</v>
      </c>
      <c r="D148" s="237">
        <v>1.52</v>
      </c>
      <c r="E148" s="237">
        <v>0.16</v>
      </c>
      <c r="F148" s="237">
        <v>9.84</v>
      </c>
      <c r="G148" s="237">
        <v>49.17</v>
      </c>
    </row>
    <row r="149" spans="1:7" x14ac:dyDescent="0.2">
      <c r="A149" s="270" t="s">
        <v>252</v>
      </c>
      <c r="B149" s="271"/>
      <c r="C149" s="257">
        <f>SUM(C145:C148)</f>
        <v>523</v>
      </c>
      <c r="D149" s="237"/>
      <c r="E149" s="237"/>
      <c r="F149" s="237"/>
      <c r="G149" s="237"/>
    </row>
  </sheetData>
  <mergeCells count="59">
    <mergeCell ref="A59:C59"/>
    <mergeCell ref="A66:C66"/>
    <mergeCell ref="A52:C52"/>
    <mergeCell ref="B18:C18"/>
    <mergeCell ref="B25:C25"/>
    <mergeCell ref="B9:C9"/>
    <mergeCell ref="A8:C8"/>
    <mergeCell ref="A17:C17"/>
    <mergeCell ref="A24:C24"/>
    <mergeCell ref="A31:C31"/>
    <mergeCell ref="A1:G2"/>
    <mergeCell ref="A3:G4"/>
    <mergeCell ref="A5:A6"/>
    <mergeCell ref="B5:B6"/>
    <mergeCell ref="C5:C6"/>
    <mergeCell ref="D5:F5"/>
    <mergeCell ref="G5:G6"/>
    <mergeCell ref="A79:B79"/>
    <mergeCell ref="A73:C73"/>
    <mergeCell ref="A16:B16"/>
    <mergeCell ref="A23:B23"/>
    <mergeCell ref="A30:B30"/>
    <mergeCell ref="A37:B37"/>
    <mergeCell ref="A44:B44"/>
    <mergeCell ref="A51:B51"/>
    <mergeCell ref="A58:B58"/>
    <mergeCell ref="A65:B65"/>
    <mergeCell ref="A72:B72"/>
    <mergeCell ref="B53:C53"/>
    <mergeCell ref="B60:C60"/>
    <mergeCell ref="B74:C74"/>
    <mergeCell ref="A38:C38"/>
    <mergeCell ref="A45:C45"/>
    <mergeCell ref="A80:C80"/>
    <mergeCell ref="B81:C81"/>
    <mergeCell ref="A86:B86"/>
    <mergeCell ref="A87:C87"/>
    <mergeCell ref="B88:C88"/>
    <mergeCell ref="A93:B93"/>
    <mergeCell ref="A94:C94"/>
    <mergeCell ref="B95:C95"/>
    <mergeCell ref="A100:B100"/>
    <mergeCell ref="A101:C101"/>
    <mergeCell ref="A107:B107"/>
    <mergeCell ref="A108:C108"/>
    <mergeCell ref="A114:B114"/>
    <mergeCell ref="A115:C115"/>
    <mergeCell ref="A121:B121"/>
    <mergeCell ref="A122:C122"/>
    <mergeCell ref="B123:C123"/>
    <mergeCell ref="A128:B128"/>
    <mergeCell ref="A129:C129"/>
    <mergeCell ref="B130:C130"/>
    <mergeCell ref="A149:B149"/>
    <mergeCell ref="A135:B135"/>
    <mergeCell ref="A136:C136"/>
    <mergeCell ref="A142:B142"/>
    <mergeCell ref="A143:C143"/>
    <mergeCell ref="B144:C144"/>
  </mergeCells>
  <pageMargins left="0.75" right="0.75" top="1" bottom="1" header="0.5" footer="0.5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72-08 руб завтрак 7-11 лет </vt:lpstr>
      <vt:lpstr>72-08  обед 7-11 лет  </vt:lpstr>
      <vt:lpstr>72-08 руб завтрак 12-18 лет</vt:lpstr>
      <vt:lpstr>147 руб 7-11 лет </vt:lpstr>
      <vt:lpstr>147 руб 12-18 лет </vt:lpstr>
      <vt:lpstr>127-49 руб 7-11 лет  коррек</vt:lpstr>
      <vt:lpstr>139-29  руб 12-18 лет коррекц </vt:lpstr>
      <vt:lpstr>148 руб 12-18 лет </vt:lpstr>
      <vt:lpstr>30 руб  кадеты 7-11 лет  </vt:lpstr>
      <vt:lpstr>'127-49 руб 7-11 лет  коррек'!Область_печати</vt:lpstr>
      <vt:lpstr>'139-29  руб 12-18 лет коррекц '!Область_печати</vt:lpstr>
      <vt:lpstr>'147 руб 12-18 лет '!Область_печати</vt:lpstr>
      <vt:lpstr>'147 руб 7-11 лет '!Область_печати</vt:lpstr>
      <vt:lpstr>'148 руб 12-18 лет '!Область_печати</vt:lpstr>
      <vt:lpstr>'30 руб  кадеты 7-11 лет  '!Область_печати</vt:lpstr>
      <vt:lpstr>'72-08  обед 7-11 лет  '!Область_печати</vt:lpstr>
      <vt:lpstr>'72-08 руб завтрак 12-18 лет'!Область_печати</vt:lpstr>
      <vt:lpstr>'72-08 руб завтрак 7-11 лет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user</cp:lastModifiedBy>
  <cp:lastPrinted>2023-08-22T08:40:44Z</cp:lastPrinted>
  <dcterms:created xsi:type="dcterms:W3CDTF">2018-10-04T05:32:37Z</dcterms:created>
  <dcterms:modified xsi:type="dcterms:W3CDTF">2023-09-18T10:47:12Z</dcterms:modified>
</cp:coreProperties>
</file>